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omments1.xml" ContentType="application/vnd.openxmlformats-officedocument.spreadsheetml.comment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comments2.xml" ContentType="application/vnd.openxmlformats-officedocument.spreadsheetml.comments+xml"/>
  <Override PartName="/xl/drawings/drawing15.xml" ContentType="application/vnd.openxmlformats-officedocument.drawing+xml"/>
  <Override PartName="/xl/charts/chart8.xml" ContentType="application/vnd.openxmlformats-officedocument.drawingml.chart+xml"/>
  <Override PartName="/xl/theme/themeOverride1.xml" ContentType="application/vnd.openxmlformats-officedocument.themeOverride+xml"/>
  <Override PartName="/xl/drawings/drawing16.xml" ContentType="application/vnd.openxmlformats-officedocument.drawing+xml"/>
  <Override PartName="/xl/charts/chart9.xml" ContentType="application/vnd.openxmlformats-officedocument.drawingml.chart+xml"/>
  <Override PartName="/xl/theme/themeOverride2.xml" ContentType="application/vnd.openxmlformats-officedocument.themeOverride+xml"/>
  <Override PartName="/xl/drawings/drawing17.xml" ContentType="application/vnd.openxmlformats-officedocument.drawing+xml"/>
  <Override PartName="/xl/charts/chart10.xml" ContentType="application/vnd.openxmlformats-officedocument.drawingml.chart+xml"/>
  <Override PartName="/xl/theme/themeOverride3.xml" ContentType="application/vnd.openxmlformats-officedocument.themeOverride+xml"/>
  <Override PartName="/xl/drawings/drawing18.xml" ContentType="application/vnd.openxmlformats-officedocument.drawing+xml"/>
  <Override PartName="/xl/charts/chart11.xml" ContentType="application/vnd.openxmlformats-officedocument.drawingml.chart+xml"/>
  <Override PartName="/xl/theme/themeOverride4.xml" ContentType="application/vnd.openxmlformats-officedocument.themeOverride+xml"/>
  <Override PartName="/xl/drawings/drawing19.xml" ContentType="application/vnd.openxmlformats-officedocument.drawingml.chartshapes+xml"/>
  <Override PartName="/xl/drawings/drawing20.xml" ContentType="application/vnd.openxmlformats-officedocument.drawing+xml"/>
  <Override PartName="/xl/charts/chart12.xml" ContentType="application/vnd.openxmlformats-officedocument.drawingml.chart+xml"/>
  <Override PartName="/xl/theme/themeOverride5.xml" ContentType="application/vnd.openxmlformats-officedocument.themeOverride+xml"/>
  <Override PartName="/xl/drawings/drawing21.xml" ContentType="application/vnd.openxmlformats-officedocument.drawingml.chartshapes+xml"/>
  <Override PartName="/xl/drawings/drawing22.xml" ContentType="application/vnd.openxmlformats-officedocument.drawing+xml"/>
  <Override PartName="/xl/charts/chart13.xml" ContentType="application/vnd.openxmlformats-officedocument.drawingml.chart+xml"/>
  <Override PartName="/xl/theme/themeOverride6.xml" ContentType="application/vnd.openxmlformats-officedocument.themeOverride+xml"/>
  <Override PartName="/xl/drawings/drawing23.xml" ContentType="application/vnd.openxmlformats-officedocument.drawingml.chartshapes+xml"/>
  <Override PartName="/xl/drawings/drawing24.xml" ContentType="application/vnd.openxmlformats-officedocument.drawing+xml"/>
  <Override PartName="/xl/charts/chart14.xml" ContentType="application/vnd.openxmlformats-officedocument.drawingml.chart+xml"/>
  <Override PartName="/xl/theme/themeOverride7.xml" ContentType="application/vnd.openxmlformats-officedocument.themeOverride+xml"/>
  <Override PartName="/xl/drawings/drawing25.xml" ContentType="application/vnd.openxmlformats-officedocument.drawingml.chartshapes+xml"/>
  <Override PartName="/xl/drawings/drawing26.xml" ContentType="application/vnd.openxmlformats-officedocument.drawing+xml"/>
  <Override PartName="/xl/charts/chart15.xml" ContentType="application/vnd.openxmlformats-officedocument.drawingml.chart+xml"/>
  <Override PartName="/xl/theme/themeOverride8.xml" ContentType="application/vnd.openxmlformats-officedocument.themeOverride+xml"/>
  <Override PartName="/xl/drawings/drawing27.xml" ContentType="application/vnd.openxmlformats-officedocument.drawingml.chartshapes+xml"/>
  <Override PartName="/xl/drawings/drawing28.xml" ContentType="application/vnd.openxmlformats-officedocument.drawing+xml"/>
  <Override PartName="/xl/charts/chart16.xml" ContentType="application/vnd.openxmlformats-officedocument.drawingml.chart+xml"/>
  <Override PartName="/xl/theme/themeOverride9.xml" ContentType="application/vnd.openxmlformats-officedocument.themeOverride+xml"/>
  <Override PartName="/xl/drawings/drawing29.xml" ContentType="application/vnd.openxmlformats-officedocument.drawingml.chartshapes+xml"/>
  <Override PartName="/xl/comments3.xml" ContentType="application/vnd.openxmlformats-officedocument.spreadsheetml.comments+xml"/>
  <Override PartName="/xl/drawings/drawing30.xml" ContentType="application/vnd.openxmlformats-officedocument.drawing+xml"/>
  <Override PartName="/xl/charts/chart17.xml" ContentType="application/vnd.openxmlformats-officedocument.drawingml.chart+xml"/>
  <Override PartName="/xl/drawings/drawing31.xml" ContentType="application/vnd.openxmlformats-officedocument.drawingml.chartshapes+xml"/>
  <Override PartName="/xl/drawings/drawing32.xml" ContentType="application/vnd.openxmlformats-officedocument.drawing+xml"/>
  <Override PartName="/xl/charts/chart18.xml" ContentType="application/vnd.openxmlformats-officedocument.drawingml.chart+xml"/>
  <Override PartName="/xl/theme/themeOverride10.xml" ContentType="application/vnd.openxmlformats-officedocument.themeOverride+xml"/>
  <Override PartName="/xl/drawings/drawing33.xml" ContentType="application/vnd.openxmlformats-officedocument.drawingml.chartshapes+xml"/>
  <Override PartName="/xl/comments4.xml" ContentType="application/vnd.openxmlformats-officedocument.spreadsheetml.comments+xml"/>
  <Override PartName="/xl/drawings/drawing34.xml" ContentType="application/vnd.openxmlformats-officedocument.drawing+xml"/>
  <Override PartName="/xl/charts/chart19.xml" ContentType="application/vnd.openxmlformats-officedocument.drawingml.chart+xml"/>
  <Override PartName="/xl/drawings/drawing35.xml" ContentType="application/vnd.openxmlformats-officedocument.drawingml.chartshapes+xml"/>
  <Override PartName="/xl/drawings/drawing36.xml" ContentType="application/vnd.openxmlformats-officedocument.drawing+xml"/>
  <Override PartName="/xl/charts/chart20.xml" ContentType="application/vnd.openxmlformats-officedocument.drawingml.chart+xml"/>
  <Override PartName="/xl/theme/themeOverride11.xml" ContentType="application/vnd.openxmlformats-officedocument.themeOverride+xml"/>
  <Override PartName="/xl/drawings/drawing37.xml" ContentType="application/vnd.openxmlformats-officedocument.drawingml.chartshapes+xml"/>
  <Override PartName="/xl/drawings/drawing38.xml" ContentType="application/vnd.openxmlformats-officedocument.drawing+xml"/>
  <Override PartName="/xl/charts/chart21.xml" ContentType="application/vnd.openxmlformats-officedocument.drawingml.chart+xml"/>
  <Override PartName="/xl/theme/themeOverride12.xml" ContentType="application/vnd.openxmlformats-officedocument.themeOverride+xml"/>
  <Override PartName="/xl/drawings/drawing39.xml" ContentType="application/vnd.openxmlformats-officedocument.drawingml.chartshapes+xml"/>
  <Override PartName="/xl/drawings/drawing40.xml" ContentType="application/vnd.openxmlformats-officedocument.drawing+xml"/>
  <Override PartName="/xl/charts/chart22.xml" ContentType="application/vnd.openxmlformats-officedocument.drawingml.chart+xml"/>
  <Override PartName="/xl/drawings/drawing41.xml" ContentType="application/vnd.openxmlformats-officedocument.drawingml.chartshapes+xml"/>
  <Override PartName="/xl/drawings/drawing42.xml" ContentType="application/vnd.openxmlformats-officedocument.drawing+xml"/>
  <Override PartName="/xl/charts/chart23.xml" ContentType="application/vnd.openxmlformats-officedocument.drawingml.chart+xml"/>
  <Override PartName="/xl/drawings/drawing43.xml" ContentType="application/vnd.openxmlformats-officedocument.drawingml.chartshapes+xml"/>
  <Override PartName="/xl/drawings/drawing44.xml" ContentType="application/vnd.openxmlformats-officedocument.drawing+xml"/>
  <Override PartName="/xl/charts/chart24.xml" ContentType="application/vnd.openxmlformats-officedocument.drawingml.chart+xml"/>
  <Override PartName="/xl/theme/themeOverride13.xml" ContentType="application/vnd.openxmlformats-officedocument.themeOverride+xml"/>
  <Override PartName="/xl/drawings/drawing45.xml" ContentType="application/vnd.openxmlformats-officedocument.drawingml.chartshapes+xml"/>
  <Override PartName="/xl/comments5.xml" ContentType="application/vnd.openxmlformats-officedocument.spreadsheetml.comments+xml"/>
  <Override PartName="/xl/comments6.xml" ContentType="application/vnd.openxmlformats-officedocument.spreadsheetml.comments+xml"/>
  <Override PartName="/xl/drawings/drawing46.xml" ContentType="application/vnd.openxmlformats-officedocument.drawing+xml"/>
  <Override PartName="/xl/charts/chart25.xml" ContentType="application/vnd.openxmlformats-officedocument.drawingml.chart+xml"/>
  <Override PartName="/xl/drawings/drawing47.xml" ContentType="application/vnd.openxmlformats-officedocument.drawingml.chartshapes+xml"/>
  <Override PartName="/xl/drawings/drawing48.xml" ContentType="application/vnd.openxmlformats-officedocument.drawing+xml"/>
  <Override PartName="/xl/charts/chart26.xml" ContentType="application/vnd.openxmlformats-officedocument.drawingml.chart+xml"/>
  <Override PartName="/xl/drawings/drawing49.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I:\Websites\Pscweb\utilities\gas\16docs\1605708\"/>
    </mc:Choice>
  </mc:AlternateContent>
  <bookViews>
    <workbookView xWindow="285" yWindow="330" windowWidth="23310" windowHeight="5835" tabRatio="786" activeTab="1"/>
  </bookViews>
  <sheets>
    <sheet name="Ex 1 HDD" sheetId="1" r:id="rId1"/>
    <sheet name="Exhibit 1.1" sheetId="15" r:id="rId2"/>
    <sheet name="Exhibit 1.2" sheetId="46" r:id="rId3"/>
    <sheet name="Exhibit 1.3" sheetId="47" r:id="rId4"/>
    <sheet name="Ex 2 Clay Basin" sheetId="2" r:id="rId5"/>
    <sheet name="Ex 2 Aquifers" sheetId="3" r:id="rId6"/>
    <sheet name="Exhibit 2.1" sheetId="16" r:id="rId7"/>
    <sheet name="Exhibit 2.2" sheetId="18" r:id="rId8"/>
    <sheet name="Exhibit 2.3" sheetId="17" r:id="rId9"/>
    <sheet name="Exhibit 2.4" sheetId="19" r:id="rId10"/>
    <sheet name="Exhibit Firm Sales Volume" sheetId="65" r:id="rId11"/>
    <sheet name="Exhibit 3.1" sheetId="70" r:id="rId12"/>
    <sheet name="Exhibit 3.2" sheetId="69" r:id="rId13"/>
    <sheet name="Exhibit 3.3" sheetId="68" r:id="rId14"/>
    <sheet name="Exhibit 3.4" sheetId="67" r:id="rId15"/>
    <sheet name="Ex 4 Purchase Gas" sheetId="6" r:id="rId16"/>
    <sheet name="Exhibit 4.1" sheetId="24" r:id="rId17"/>
    <sheet name="Exhibit 4.2" sheetId="25" r:id="rId18"/>
    <sheet name="Exhibit 4.3" sheetId="26" r:id="rId19"/>
    <sheet name="Ex 5 Purchase Gas Cost" sheetId="8" r:id="rId20"/>
    <sheet name="Exhibit 5.1" sheetId="27" r:id="rId21"/>
    <sheet name="Exhibit 5.2" sheetId="28" r:id="rId22"/>
    <sheet name="Exhibit 5.3" sheetId="29" r:id="rId23"/>
    <sheet name="Ex 6 Purch Gas Unit Cost" sheetId="7" r:id="rId24"/>
    <sheet name="Exhibit 6.1" sheetId="31" r:id="rId25"/>
    <sheet name="Exhibit 6.2" sheetId="32" r:id="rId26"/>
    <sheet name="Ex 7 Co. Owned Gas" sheetId="10" r:id="rId27"/>
    <sheet name="Exhibit 7.1" sheetId="33" r:id="rId28"/>
    <sheet name="Exhibit 7.2" sheetId="34" r:id="rId29"/>
    <sheet name="Exhibit 7.3" sheetId="35" r:id="rId30"/>
    <sheet name="Ex 8 New Drill" sheetId="9" r:id="rId31"/>
    <sheet name="Exhibit 8.1" sheetId="51" r:id="rId32"/>
    <sheet name="Exhibit 8.2" sheetId="36" r:id="rId33"/>
    <sheet name="Exhibit 8.3" sheetId="37" r:id="rId34"/>
    <sheet name="Company Nom Groups" sheetId="4" state="hidden" r:id="rId35"/>
    <sheet name="Normal Purchase %" sheetId="59" state="hidden" r:id="rId36"/>
    <sheet name="IRP Pruch Cover Sheet" sheetId="13" state="hidden" r:id="rId37"/>
    <sheet name="Shut-In" sheetId="64" state="hidden" r:id="rId38"/>
    <sheet name="Deleted Exhibit 2.5" sheetId="48" state="hidden" r:id="rId39"/>
    <sheet name="Deleted Exhibit 2.6" sheetId="49" state="hidden" r:id="rId40"/>
    <sheet name="Ex 2 Ryckman" sheetId="66" state="hidden" r:id="rId41"/>
  </sheets>
  <definedNames>
    <definedName name="_xlnm.Print_Area" localSheetId="34">'Company Nom Groups'!$BG$2:$BX$105</definedName>
    <definedName name="_xlnm.Print_Area" localSheetId="38">'Deleted Exhibit 2.5'!$A$1:$Q$32</definedName>
    <definedName name="_xlnm.Print_Area" localSheetId="39">'Deleted Exhibit 2.6'!$A$1:$Q$32</definedName>
    <definedName name="_xlnm.Print_Area" localSheetId="1">'Exhibit 1.1'!$A$1:$Q$33</definedName>
    <definedName name="_xlnm.Print_Area" localSheetId="2">'Exhibit 1.2'!$A$1:$Q$32</definedName>
    <definedName name="_xlnm.Print_Area" localSheetId="3">'Exhibit 1.3'!$A$1:$Q$33</definedName>
    <definedName name="_xlnm.Print_Area" localSheetId="6">'Exhibit 2.1'!$A$1:$Q$33</definedName>
    <definedName name="_xlnm.Print_Area" localSheetId="7">'Exhibit 2.2'!$A$1:$Q$33</definedName>
    <definedName name="_xlnm.Print_Area" localSheetId="8">'Exhibit 2.3'!$A$1:$Q$32</definedName>
    <definedName name="_xlnm.Print_Area" localSheetId="9">'Exhibit 2.4'!$A$1:$Q$32</definedName>
    <definedName name="_xlnm.Print_Area" localSheetId="13">'Exhibit 3.3'!$A$1:$Q$32</definedName>
    <definedName name="_xlnm.Print_Area" localSheetId="16">'Exhibit 4.1'!$A$1:$Q$32</definedName>
    <definedName name="_xlnm.Print_Area" localSheetId="17">'Exhibit 4.2'!$A$1:$Q$31</definedName>
    <definedName name="_xlnm.Print_Area" localSheetId="18">'Exhibit 4.3'!$A$1:$Q$34</definedName>
    <definedName name="_xlnm.Print_Area" localSheetId="20">'Exhibit 5.1'!$A$1:$Q$32</definedName>
    <definedName name="_xlnm.Print_Area" localSheetId="21">'Exhibit 5.2'!$A$1:$Q$34</definedName>
    <definedName name="_xlnm.Print_Area" localSheetId="22">'Exhibit 5.3'!$A$1:$Q$33</definedName>
    <definedName name="_xlnm.Print_Area" localSheetId="24">'Exhibit 6.1'!$A$1:$Q$33</definedName>
    <definedName name="_xlnm.Print_Area" localSheetId="25">'Exhibit 6.2'!$A$1:$Q$33</definedName>
    <definedName name="_xlnm.Print_Area" localSheetId="27">'Exhibit 7.1'!$A$1:$Q$33</definedName>
    <definedName name="_xlnm.Print_Area" localSheetId="31">'Exhibit 8.1'!$A$1:$Q$32</definedName>
    <definedName name="_xlnm.Print_Area" localSheetId="32">'Exhibit 8.2'!$A$1:$Q$33</definedName>
    <definedName name="_xlnm.Print_Area" localSheetId="33">'Exhibit 8.3'!$A$1:$Q$32</definedName>
    <definedName name="_xlnm.Print_Titles" localSheetId="34">'Company Nom Groups'!$2:$5</definedName>
  </definedNames>
  <calcPr calcId="152511"/>
</workbook>
</file>

<file path=xl/calcChain.xml><?xml version="1.0" encoding="utf-8"?>
<calcChain xmlns="http://schemas.openxmlformats.org/spreadsheetml/2006/main">
  <c r="B21" i="6" l="1"/>
  <c r="B19" i="6"/>
  <c r="A28" i="67" l="1"/>
  <c r="A31" i="67" s="1"/>
  <c r="A32" i="67" s="1"/>
  <c r="A33" i="67" s="1"/>
  <c r="A34" i="67" s="1"/>
  <c r="A35" i="67" s="1"/>
  <c r="A36" i="67" s="1"/>
  <c r="A38" i="67" s="1"/>
  <c r="A39" i="67" s="1"/>
  <c r="A42" i="67" s="1"/>
  <c r="A43" i="67" s="1"/>
  <c r="A44" i="67" s="1"/>
  <c r="A45" i="67" s="1"/>
  <c r="A46" i="67" s="1"/>
  <c r="A47" i="67" s="1"/>
  <c r="A48" i="67" s="1"/>
  <c r="A49" i="67" s="1"/>
  <c r="A50" i="67" s="1"/>
  <c r="A51" i="67" s="1"/>
  <c r="A12" i="67"/>
  <c r="A13" i="67" s="1"/>
  <c r="A14" i="67" s="1"/>
  <c r="A15" i="67" s="1"/>
  <c r="A17" i="67" s="1"/>
  <c r="H11" i="65"/>
  <c r="G11" i="65"/>
  <c r="G10" i="65"/>
  <c r="G7" i="65"/>
  <c r="G8" i="65" s="1"/>
  <c r="G9" i="65" s="1"/>
  <c r="H7" i="65"/>
  <c r="H8" i="65"/>
  <c r="H9" i="65" s="1"/>
  <c r="H10" i="65" s="1"/>
  <c r="H12" i="65" s="1"/>
  <c r="H13" i="65" s="1"/>
  <c r="H14" i="65" s="1"/>
  <c r="H15" i="65" s="1"/>
  <c r="H16" i="65" s="1"/>
  <c r="H6" i="65"/>
  <c r="G6" i="65"/>
  <c r="H5" i="65"/>
  <c r="G5" i="65"/>
  <c r="G12" i="65" l="1"/>
  <c r="G13" i="65" s="1"/>
  <c r="G14" i="65" s="1"/>
  <c r="G15" i="65" s="1"/>
  <c r="G16" i="65" s="1"/>
  <c r="A8" i="13"/>
  <c r="E26" i="59"/>
  <c r="E27" i="59"/>
  <c r="E25" i="59"/>
  <c r="B15" i="9"/>
  <c r="B14" i="9"/>
  <c r="B13" i="9"/>
  <c r="Z138" i="4" l="1"/>
  <c r="V138" i="4"/>
  <c r="W100" i="4"/>
  <c r="P149" i="4"/>
  <c r="Z122" i="4"/>
  <c r="V122" i="4"/>
  <c r="B16" i="10"/>
  <c r="B15" i="10"/>
  <c r="B14" i="10"/>
  <c r="BT100" i="4"/>
  <c r="BT101" i="4"/>
  <c r="BT102" i="4"/>
  <c r="BT99" i="4"/>
  <c r="BT93" i="4"/>
  <c r="BT96" i="4"/>
  <c r="BT84" i="4"/>
  <c r="BT85" i="4"/>
  <c r="BT86" i="4"/>
  <c r="BT65" i="4"/>
  <c r="BT66" i="4"/>
  <c r="BT67" i="4"/>
  <c r="BT68" i="4"/>
  <c r="BT69" i="4"/>
  <c r="BT70" i="4"/>
  <c r="BT71" i="4"/>
  <c r="BT72" i="4"/>
  <c r="BT73" i="4"/>
  <c r="BT74" i="4"/>
  <c r="BT75" i="4"/>
  <c r="BT76" i="4"/>
  <c r="BT77" i="4"/>
  <c r="BT78" i="4"/>
  <c r="BT79" i="4"/>
  <c r="BT80" i="4"/>
  <c r="BT81" i="4"/>
  <c r="BT82" i="4"/>
  <c r="BT83" i="4"/>
  <c r="BT50" i="4"/>
  <c r="BT51" i="4"/>
  <c r="BT52" i="4"/>
  <c r="BT53" i="4"/>
  <c r="BT54" i="4"/>
  <c r="BT55" i="4"/>
  <c r="BT56" i="4"/>
  <c r="BT57" i="4"/>
  <c r="BT58" i="4"/>
  <c r="BT59" i="4"/>
  <c r="BT60" i="4"/>
  <c r="BT61" i="4"/>
  <c r="BT62" i="4"/>
  <c r="BT63" i="4"/>
  <c r="BT64" i="4"/>
  <c r="BT28" i="4"/>
  <c r="BT29" i="4"/>
  <c r="BT30" i="4"/>
  <c r="BT31" i="4"/>
  <c r="BT32" i="4"/>
  <c r="BT33" i="4"/>
  <c r="BT34" i="4"/>
  <c r="BT35" i="4"/>
  <c r="BT36" i="4"/>
  <c r="BT37" i="4"/>
  <c r="BT38" i="4"/>
  <c r="BT39" i="4"/>
  <c r="BT40" i="4"/>
  <c r="BT41" i="4"/>
  <c r="BT42" i="4"/>
  <c r="BT43" i="4"/>
  <c r="BT44" i="4"/>
  <c r="BT45" i="4"/>
  <c r="BT46" i="4"/>
  <c r="BT47" i="4"/>
  <c r="BT48" i="4"/>
  <c r="BT49" i="4"/>
  <c r="BT17" i="4"/>
  <c r="BT18" i="4"/>
  <c r="BT19" i="4"/>
  <c r="BT20" i="4"/>
  <c r="BT21" i="4"/>
  <c r="BT22" i="4"/>
  <c r="BT23" i="4"/>
  <c r="BT24" i="4"/>
  <c r="BT25" i="4"/>
  <c r="BT26" i="4"/>
  <c r="BT27" i="4"/>
  <c r="BT7" i="4"/>
  <c r="BT8" i="4"/>
  <c r="BT9" i="4"/>
  <c r="BT10" i="4"/>
  <c r="BT11" i="4"/>
  <c r="BT12" i="4"/>
  <c r="BT13" i="4"/>
  <c r="BT14" i="4"/>
  <c r="BT15" i="4"/>
  <c r="BT16" i="4"/>
  <c r="BF112" i="4" l="1"/>
  <c r="BF113" i="4"/>
  <c r="BF114" i="4"/>
  <c r="BF115" i="4"/>
  <c r="BF116" i="4"/>
  <c r="BF117" i="4"/>
  <c r="BF118" i="4"/>
  <c r="BF119" i="4"/>
  <c r="BF120" i="4"/>
  <c r="BF121" i="4"/>
  <c r="BF122" i="4"/>
  <c r="BF123" i="4"/>
  <c r="BF124" i="4"/>
  <c r="BF125" i="4"/>
  <c r="BF126" i="4"/>
  <c r="BF127" i="4"/>
  <c r="BF128" i="4"/>
  <c r="BF129" i="4"/>
  <c r="BF130" i="4"/>
  <c r="BF131" i="4"/>
  <c r="BF132" i="4"/>
  <c r="BF133" i="4"/>
  <c r="BF134" i="4"/>
  <c r="BF135" i="4"/>
  <c r="BF136" i="4"/>
  <c r="BF137" i="4"/>
  <c r="BF138" i="4"/>
  <c r="BF139" i="4"/>
  <c r="BF140" i="4"/>
  <c r="BF141" i="4"/>
  <c r="BF142" i="4"/>
  <c r="BF143" i="4"/>
  <c r="BF144" i="4"/>
  <c r="BF145" i="4"/>
  <c r="BF146" i="4"/>
  <c r="BF147" i="4"/>
  <c r="BF148" i="4"/>
  <c r="BF149" i="4"/>
  <c r="BF150" i="4"/>
  <c r="BF151" i="4"/>
  <c r="BF152" i="4"/>
  <c r="BF153" i="4"/>
  <c r="BF154" i="4"/>
  <c r="BF155" i="4"/>
  <c r="BF156" i="4"/>
  <c r="BF157" i="4"/>
  <c r="BF158" i="4"/>
  <c r="BF159" i="4"/>
  <c r="BF160" i="4"/>
  <c r="BF161" i="4"/>
  <c r="BF162" i="4"/>
  <c r="BF163" i="4"/>
  <c r="BF164" i="4"/>
  <c r="BF165" i="4"/>
  <c r="BF166" i="4"/>
  <c r="BF167" i="4"/>
  <c r="BF168" i="4"/>
  <c r="BF169" i="4"/>
  <c r="BF170" i="4"/>
  <c r="BF171" i="4"/>
  <c r="BF172" i="4"/>
  <c r="BF173" i="4"/>
  <c r="BF174" i="4"/>
  <c r="BF175" i="4"/>
  <c r="BF176" i="4"/>
  <c r="BF177" i="4"/>
  <c r="BF178" i="4"/>
  <c r="BF179" i="4"/>
  <c r="BF180" i="4"/>
  <c r="BF181" i="4"/>
  <c r="BF182" i="4"/>
  <c r="BF183" i="4"/>
  <c r="BF184" i="4"/>
  <c r="BF185" i="4"/>
  <c r="BF186" i="4"/>
  <c r="BF187" i="4"/>
  <c r="BF188" i="4"/>
  <c r="BF189" i="4"/>
  <c r="BF190" i="4"/>
  <c r="BF191" i="4"/>
  <c r="BF192" i="4"/>
  <c r="BF193" i="4"/>
  <c r="BF194" i="4"/>
  <c r="BF195" i="4"/>
  <c r="BF111" i="4"/>
  <c r="BQ99" i="4"/>
  <c r="BQ101" i="4"/>
  <c r="BQ102" i="4"/>
  <c r="BP99" i="4"/>
  <c r="BP101" i="4"/>
  <c r="BP102" i="4"/>
  <c r="BP90" i="4"/>
  <c r="BP69" i="4"/>
  <c r="BP70" i="4"/>
  <c r="BP71" i="4"/>
  <c r="BP72" i="4"/>
  <c r="BP73" i="4"/>
  <c r="BP74" i="4"/>
  <c r="BP75" i="4"/>
  <c r="BP76" i="4"/>
  <c r="BP77" i="4"/>
  <c r="BP78" i="4"/>
  <c r="BP79" i="4"/>
  <c r="BP80" i="4"/>
  <c r="BP81" i="4"/>
  <c r="BP82" i="4"/>
  <c r="BP83" i="4"/>
  <c r="BP84" i="4"/>
  <c r="BP85" i="4"/>
  <c r="BP86" i="4"/>
  <c r="BP40" i="4"/>
  <c r="BP41" i="4"/>
  <c r="BP42" i="4"/>
  <c r="BP43" i="4"/>
  <c r="BP44" i="4"/>
  <c r="BP45" i="4"/>
  <c r="BP46" i="4"/>
  <c r="BP47" i="4"/>
  <c r="BP48" i="4"/>
  <c r="BP49" i="4"/>
  <c r="BP50" i="4"/>
  <c r="BP51" i="4"/>
  <c r="BP52" i="4"/>
  <c r="BP53" i="4"/>
  <c r="BP54" i="4"/>
  <c r="BP55" i="4"/>
  <c r="BP56" i="4"/>
  <c r="BP57" i="4"/>
  <c r="BP58" i="4"/>
  <c r="BP59" i="4"/>
  <c r="BP60" i="4"/>
  <c r="BP61" i="4"/>
  <c r="BP62" i="4"/>
  <c r="BP63" i="4"/>
  <c r="BP64" i="4"/>
  <c r="BP65" i="4"/>
  <c r="BP66" i="4"/>
  <c r="BP67" i="4"/>
  <c r="BP68" i="4"/>
  <c r="BP8" i="4"/>
  <c r="BP9" i="4"/>
  <c r="BP10" i="4"/>
  <c r="BP11" i="4"/>
  <c r="BP12" i="4"/>
  <c r="BP13" i="4"/>
  <c r="BP14" i="4"/>
  <c r="BP15" i="4"/>
  <c r="BP16" i="4"/>
  <c r="BP17" i="4"/>
  <c r="BP18" i="4"/>
  <c r="BP19" i="4"/>
  <c r="BP20" i="4"/>
  <c r="BP21" i="4"/>
  <c r="BP22" i="4"/>
  <c r="BP23" i="4"/>
  <c r="BP24" i="4"/>
  <c r="BP25" i="4"/>
  <c r="BP26" i="4"/>
  <c r="BP27" i="4"/>
  <c r="BP28" i="4"/>
  <c r="BP29" i="4"/>
  <c r="BP30" i="4"/>
  <c r="BP31" i="4"/>
  <c r="BP32" i="4"/>
  <c r="BP33" i="4"/>
  <c r="BP34" i="4"/>
  <c r="BP35" i="4"/>
  <c r="BP36" i="4"/>
  <c r="BP37" i="4"/>
  <c r="BP38" i="4"/>
  <c r="BP39" i="4"/>
  <c r="BP7" i="4"/>
  <c r="BP6" i="4"/>
  <c r="BP87" i="4" s="1"/>
  <c r="BL103" i="4"/>
  <c r="BL105" i="4"/>
  <c r="BL100" i="4"/>
  <c r="BL101" i="4"/>
  <c r="BL102" i="4"/>
  <c r="BL99" i="4"/>
  <c r="BL90" i="4"/>
  <c r="BL77" i="4"/>
  <c r="BL78" i="4"/>
  <c r="BL79" i="4"/>
  <c r="BL80" i="4"/>
  <c r="BL81" i="4"/>
  <c r="BL82" i="4"/>
  <c r="BL83" i="4"/>
  <c r="BL84" i="4"/>
  <c r="BL85" i="4"/>
  <c r="BL86" i="4"/>
  <c r="BL55" i="4"/>
  <c r="BL56" i="4"/>
  <c r="BL57" i="4"/>
  <c r="BL58" i="4"/>
  <c r="BL59" i="4"/>
  <c r="BL60" i="4"/>
  <c r="BL61" i="4"/>
  <c r="BL62" i="4"/>
  <c r="BL63" i="4"/>
  <c r="BL64" i="4"/>
  <c r="BL65" i="4"/>
  <c r="BL66" i="4"/>
  <c r="BL67" i="4"/>
  <c r="BL68" i="4"/>
  <c r="BL69" i="4"/>
  <c r="BL70" i="4"/>
  <c r="BL71" i="4"/>
  <c r="BL72" i="4"/>
  <c r="BL73" i="4"/>
  <c r="BL74" i="4"/>
  <c r="BL75" i="4"/>
  <c r="BL76" i="4"/>
  <c r="BL33" i="4"/>
  <c r="BL34" i="4"/>
  <c r="BL35" i="4"/>
  <c r="BL36" i="4"/>
  <c r="BL37" i="4"/>
  <c r="BL38" i="4"/>
  <c r="BL39" i="4"/>
  <c r="BL40" i="4"/>
  <c r="BL41" i="4"/>
  <c r="BL42" i="4"/>
  <c r="BL43" i="4"/>
  <c r="BL44" i="4"/>
  <c r="BL45" i="4"/>
  <c r="BL46" i="4"/>
  <c r="BL47" i="4"/>
  <c r="BL48" i="4"/>
  <c r="BL49" i="4"/>
  <c r="BL50" i="4"/>
  <c r="BL51" i="4"/>
  <c r="BL52" i="4"/>
  <c r="BL53" i="4"/>
  <c r="BL54" i="4"/>
  <c r="BL8" i="4"/>
  <c r="BL9" i="4"/>
  <c r="BL10" i="4"/>
  <c r="BL11" i="4"/>
  <c r="BL12" i="4"/>
  <c r="BL13" i="4"/>
  <c r="BL14" i="4"/>
  <c r="BL15" i="4"/>
  <c r="BL16" i="4"/>
  <c r="BL17" i="4"/>
  <c r="BL18" i="4"/>
  <c r="BL19" i="4"/>
  <c r="BL20" i="4"/>
  <c r="BL21" i="4"/>
  <c r="BL22" i="4"/>
  <c r="BL23" i="4"/>
  <c r="BL24" i="4"/>
  <c r="BL25" i="4"/>
  <c r="BL26" i="4"/>
  <c r="BL27" i="4"/>
  <c r="BL28" i="4"/>
  <c r="BL29" i="4"/>
  <c r="BL30" i="4"/>
  <c r="BL31" i="4"/>
  <c r="BL32" i="4"/>
  <c r="BL7" i="4"/>
  <c r="B15" i="3" l="1"/>
  <c r="B16" i="3"/>
  <c r="B16" i="2"/>
  <c r="B17" i="2"/>
  <c r="B14" i="3" l="1"/>
  <c r="D15" i="2"/>
  <c r="H5" i="64" l="1"/>
  <c r="AP103" i="4" l="1"/>
  <c r="AT103" i="4" s="1"/>
  <c r="AX103" i="4" s="1"/>
  <c r="BG103" i="4" s="1"/>
  <c r="AX89" i="4" l="1"/>
  <c r="AT89" i="4"/>
  <c r="BG89" i="4" s="1"/>
  <c r="AP89" i="4"/>
  <c r="BK98" i="4"/>
  <c r="BO98" i="4" s="1"/>
  <c r="BS98" i="4" s="1"/>
  <c r="AP96" i="4"/>
  <c r="AT96" i="4" s="1"/>
  <c r="AX96" i="4" s="1"/>
  <c r="BC92" i="4"/>
  <c r="BC46" i="4"/>
  <c r="B8" i="59"/>
  <c r="B9" i="59"/>
  <c r="B10" i="59"/>
  <c r="M8" i="6" l="1"/>
  <c r="AV89" i="4" l="1"/>
  <c r="AV97" i="4"/>
  <c r="AR89" i="4"/>
  <c r="AR97" i="4"/>
  <c r="AN97" i="4"/>
  <c r="AN104" i="4"/>
  <c r="B10" i="3" l="1"/>
  <c r="B11" i="3"/>
  <c r="B12" i="3"/>
  <c r="B11" i="2"/>
  <c r="B12" i="2"/>
  <c r="B13" i="2"/>
  <c r="B14" i="2"/>
  <c r="C16" i="64" l="1"/>
  <c r="C19" i="64"/>
  <c r="C22" i="64"/>
  <c r="C25" i="64"/>
  <c r="C28" i="64"/>
  <c r="C31" i="64"/>
  <c r="C34" i="64"/>
  <c r="C37" i="64"/>
  <c r="C40" i="64"/>
  <c r="C10" i="64"/>
  <c r="C75" i="64"/>
  <c r="D75" i="64"/>
  <c r="B75" i="64"/>
  <c r="D41" i="64"/>
  <c r="B41" i="64"/>
  <c r="C41" i="64" l="1"/>
  <c r="E41" i="64" s="1"/>
  <c r="E5" i="64" s="1"/>
  <c r="B8" i="3" l="1"/>
  <c r="B9" i="3"/>
  <c r="B9" i="2"/>
  <c r="B10" i="2"/>
  <c r="B7" i="3" l="1"/>
  <c r="B8" i="2"/>
  <c r="D19" i="10" l="1"/>
  <c r="D18" i="10"/>
  <c r="D17" i="10"/>
  <c r="D16" i="10"/>
  <c r="D15" i="10"/>
  <c r="D14" i="10"/>
  <c r="D13" i="10"/>
  <c r="D12" i="10"/>
  <c r="D11" i="10"/>
  <c r="D10" i="10"/>
  <c r="D9" i="10"/>
  <c r="D8" i="10"/>
  <c r="CN88" i="4"/>
  <c r="CN89" i="4"/>
  <c r="CN90" i="4"/>
  <c r="CN91" i="4"/>
  <c r="CN92" i="4"/>
  <c r="CN93" i="4"/>
  <c r="CN94" i="4"/>
  <c r="CN95" i="4"/>
  <c r="CN96" i="4"/>
  <c r="CN97" i="4"/>
  <c r="CN98" i="4"/>
  <c r="CN99" i="4"/>
  <c r="CN100" i="4"/>
  <c r="CN101" i="4"/>
  <c r="CN102" i="4"/>
  <c r="CN103" i="4"/>
  <c r="CN104" i="4"/>
  <c r="CN7" i="4"/>
  <c r="CN8" i="4"/>
  <c r="CN9" i="4"/>
  <c r="CN10" i="4"/>
  <c r="CN11" i="4"/>
  <c r="CN12" i="4"/>
  <c r="CN13" i="4"/>
  <c r="CN14" i="4"/>
  <c r="CN15" i="4"/>
  <c r="CN16" i="4"/>
  <c r="CN17" i="4"/>
  <c r="CN18" i="4"/>
  <c r="CN19" i="4"/>
  <c r="CN20" i="4"/>
  <c r="CN21" i="4"/>
  <c r="CN22" i="4"/>
  <c r="CN23" i="4"/>
  <c r="CN24" i="4"/>
  <c r="CN25" i="4"/>
  <c r="CN26" i="4"/>
  <c r="CN27" i="4"/>
  <c r="CN28" i="4"/>
  <c r="CN29" i="4"/>
  <c r="CN30" i="4"/>
  <c r="CN31" i="4"/>
  <c r="CN32" i="4"/>
  <c r="CN33" i="4"/>
  <c r="CN34" i="4"/>
  <c r="CN35" i="4"/>
  <c r="CN36" i="4"/>
  <c r="CN37" i="4"/>
  <c r="CN38" i="4"/>
  <c r="CN39" i="4"/>
  <c r="CN40" i="4"/>
  <c r="CN41" i="4"/>
  <c r="CN42" i="4"/>
  <c r="CN43" i="4"/>
  <c r="CN44" i="4"/>
  <c r="CN45" i="4"/>
  <c r="CN46" i="4"/>
  <c r="CN47" i="4"/>
  <c r="CN48" i="4"/>
  <c r="CN49" i="4"/>
  <c r="CN50" i="4"/>
  <c r="CN51" i="4"/>
  <c r="CN52" i="4"/>
  <c r="CN53" i="4"/>
  <c r="CN54" i="4"/>
  <c r="CN55" i="4"/>
  <c r="CN56" i="4"/>
  <c r="CN57" i="4"/>
  <c r="CN58" i="4"/>
  <c r="CN59" i="4"/>
  <c r="CN60" i="4"/>
  <c r="CN61" i="4"/>
  <c r="CN62" i="4"/>
  <c r="CN63" i="4"/>
  <c r="CN64" i="4"/>
  <c r="CN65" i="4"/>
  <c r="CN66" i="4"/>
  <c r="CN67" i="4"/>
  <c r="CN68" i="4"/>
  <c r="CN69" i="4"/>
  <c r="CN70" i="4"/>
  <c r="CN71" i="4"/>
  <c r="CN72" i="4"/>
  <c r="CN73" i="4"/>
  <c r="CN74" i="4"/>
  <c r="CN75" i="4"/>
  <c r="CN76" i="4"/>
  <c r="CN77" i="4"/>
  <c r="CN78" i="4"/>
  <c r="CN79" i="4"/>
  <c r="CN80" i="4"/>
  <c r="CN81" i="4"/>
  <c r="CN82" i="4"/>
  <c r="CN83" i="4"/>
  <c r="CN84" i="4"/>
  <c r="CN85" i="4"/>
  <c r="CN86" i="4"/>
  <c r="CN6" i="4"/>
  <c r="CL101" i="4"/>
  <c r="CL102" i="4"/>
  <c r="CL90" i="4"/>
  <c r="CH101" i="4"/>
  <c r="CH102" i="4"/>
  <c r="CH90" i="4"/>
  <c r="CJ88" i="4"/>
  <c r="CJ89" i="4"/>
  <c r="CJ90" i="4"/>
  <c r="CJ91" i="4"/>
  <c r="CJ92" i="4"/>
  <c r="CJ93" i="4"/>
  <c r="CJ94" i="4"/>
  <c r="CJ95" i="4"/>
  <c r="CJ96" i="4"/>
  <c r="CJ97" i="4"/>
  <c r="CJ98" i="4"/>
  <c r="CJ99" i="4"/>
  <c r="CJ100" i="4"/>
  <c r="CJ101" i="4"/>
  <c r="CJ102" i="4"/>
  <c r="CJ103" i="4"/>
  <c r="CJ104" i="4"/>
  <c r="CJ7" i="4"/>
  <c r="CJ8" i="4"/>
  <c r="CJ9" i="4"/>
  <c r="CJ10" i="4"/>
  <c r="CJ11" i="4"/>
  <c r="CJ12" i="4"/>
  <c r="CJ13" i="4"/>
  <c r="CJ14" i="4"/>
  <c r="CJ15" i="4"/>
  <c r="CJ16" i="4"/>
  <c r="CJ17" i="4"/>
  <c r="CJ18" i="4"/>
  <c r="CJ19" i="4"/>
  <c r="CJ20" i="4"/>
  <c r="CJ21" i="4"/>
  <c r="CJ22" i="4"/>
  <c r="CJ23" i="4"/>
  <c r="CJ24" i="4"/>
  <c r="CJ25" i="4"/>
  <c r="CJ26" i="4"/>
  <c r="CJ27" i="4"/>
  <c r="CJ28" i="4"/>
  <c r="CJ29" i="4"/>
  <c r="CJ30" i="4"/>
  <c r="CJ31" i="4"/>
  <c r="CJ32" i="4"/>
  <c r="CJ33" i="4"/>
  <c r="CJ34" i="4"/>
  <c r="CJ35" i="4"/>
  <c r="CJ36" i="4"/>
  <c r="CJ37" i="4"/>
  <c r="CJ38" i="4"/>
  <c r="CJ39" i="4"/>
  <c r="CJ40" i="4"/>
  <c r="CJ41" i="4"/>
  <c r="CJ42" i="4"/>
  <c r="CJ43" i="4"/>
  <c r="CJ44" i="4"/>
  <c r="CJ45" i="4"/>
  <c r="CJ46" i="4"/>
  <c r="CJ47" i="4"/>
  <c r="CJ48" i="4"/>
  <c r="CJ49" i="4"/>
  <c r="CJ50" i="4"/>
  <c r="CJ51" i="4"/>
  <c r="CJ52" i="4"/>
  <c r="CJ53" i="4"/>
  <c r="CJ54" i="4"/>
  <c r="CJ55" i="4"/>
  <c r="CJ56" i="4"/>
  <c r="CJ57" i="4"/>
  <c r="CJ58" i="4"/>
  <c r="CJ59" i="4"/>
  <c r="CJ60" i="4"/>
  <c r="CJ61" i="4"/>
  <c r="CJ62" i="4"/>
  <c r="CJ63" i="4"/>
  <c r="CJ64" i="4"/>
  <c r="CJ65" i="4"/>
  <c r="CJ66" i="4"/>
  <c r="CJ67" i="4"/>
  <c r="CJ68" i="4"/>
  <c r="CJ69" i="4"/>
  <c r="CJ70" i="4"/>
  <c r="CJ71" i="4"/>
  <c r="CJ72" i="4"/>
  <c r="CJ73" i="4"/>
  <c r="CJ74" i="4"/>
  <c r="CJ75" i="4"/>
  <c r="CJ76" i="4"/>
  <c r="CJ77" i="4"/>
  <c r="CJ78" i="4"/>
  <c r="CJ79" i="4"/>
  <c r="CJ80" i="4"/>
  <c r="CJ81" i="4"/>
  <c r="CJ82" i="4"/>
  <c r="CJ83" i="4"/>
  <c r="CJ84" i="4"/>
  <c r="CJ85" i="4"/>
  <c r="CJ86" i="4"/>
  <c r="CJ6" i="4"/>
  <c r="CD90" i="4"/>
  <c r="CD101" i="4"/>
  <c r="CD102" i="4"/>
  <c r="CF88" i="4"/>
  <c r="CF89" i="4"/>
  <c r="CF90" i="4"/>
  <c r="CF91" i="4"/>
  <c r="CF92" i="4"/>
  <c r="CF93" i="4"/>
  <c r="CF94" i="4"/>
  <c r="CF95" i="4"/>
  <c r="CF96" i="4"/>
  <c r="CF97" i="4"/>
  <c r="CF98" i="4"/>
  <c r="CF99" i="4"/>
  <c r="CF100" i="4"/>
  <c r="CF101" i="4"/>
  <c r="CF102" i="4"/>
  <c r="CF103" i="4"/>
  <c r="CF104" i="4"/>
  <c r="CF8" i="4"/>
  <c r="CF9" i="4"/>
  <c r="CF10" i="4"/>
  <c r="CF11" i="4"/>
  <c r="CF12" i="4"/>
  <c r="CF13" i="4"/>
  <c r="CF14" i="4"/>
  <c r="CF15" i="4"/>
  <c r="CF16" i="4"/>
  <c r="CF17" i="4"/>
  <c r="CF18" i="4"/>
  <c r="CF19" i="4"/>
  <c r="CF20" i="4"/>
  <c r="CF21" i="4"/>
  <c r="CF22" i="4"/>
  <c r="CF23" i="4"/>
  <c r="CF24" i="4"/>
  <c r="CF25" i="4"/>
  <c r="CF26" i="4"/>
  <c r="CF27" i="4"/>
  <c r="CF28" i="4"/>
  <c r="CF29" i="4"/>
  <c r="CF30" i="4"/>
  <c r="CF31" i="4"/>
  <c r="CF32" i="4"/>
  <c r="CF33" i="4"/>
  <c r="CF34" i="4"/>
  <c r="CF35" i="4"/>
  <c r="CF36" i="4"/>
  <c r="CF37" i="4"/>
  <c r="CF38" i="4"/>
  <c r="CF39" i="4"/>
  <c r="CF40" i="4"/>
  <c r="CF41" i="4"/>
  <c r="CF42" i="4"/>
  <c r="CF43" i="4"/>
  <c r="CF44" i="4"/>
  <c r="CF45" i="4"/>
  <c r="CF46" i="4"/>
  <c r="CF47" i="4"/>
  <c r="CF48" i="4"/>
  <c r="CF49" i="4"/>
  <c r="CF50" i="4"/>
  <c r="CF51" i="4"/>
  <c r="CF52" i="4"/>
  <c r="CF53" i="4"/>
  <c r="CF54" i="4"/>
  <c r="CF55" i="4"/>
  <c r="CF56" i="4"/>
  <c r="CF57" i="4"/>
  <c r="CF58" i="4"/>
  <c r="CF59" i="4"/>
  <c r="CF60" i="4"/>
  <c r="CF61" i="4"/>
  <c r="CF62" i="4"/>
  <c r="CF63" i="4"/>
  <c r="CF64" i="4"/>
  <c r="CF65" i="4"/>
  <c r="CF66" i="4"/>
  <c r="CF67" i="4"/>
  <c r="CF68" i="4"/>
  <c r="CF69" i="4"/>
  <c r="CF70" i="4"/>
  <c r="CF71" i="4"/>
  <c r="CF72" i="4"/>
  <c r="CF73" i="4"/>
  <c r="CF74" i="4"/>
  <c r="CF75" i="4"/>
  <c r="CF76" i="4"/>
  <c r="CF77" i="4"/>
  <c r="CF78" i="4"/>
  <c r="CF79" i="4"/>
  <c r="CF80" i="4"/>
  <c r="CF81" i="4"/>
  <c r="CF82" i="4"/>
  <c r="CF83" i="4"/>
  <c r="CF84" i="4"/>
  <c r="CF85" i="4"/>
  <c r="CF86" i="4"/>
  <c r="CF7" i="4"/>
  <c r="CF6" i="4"/>
  <c r="BS8" i="4"/>
  <c r="BS9" i="4"/>
  <c r="BS10" i="4"/>
  <c r="BS11" i="4"/>
  <c r="BS12" i="4"/>
  <c r="BS13" i="4"/>
  <c r="BS14" i="4"/>
  <c r="BS15" i="4"/>
  <c r="BS16" i="4"/>
  <c r="BS17" i="4"/>
  <c r="BS18" i="4"/>
  <c r="BS19" i="4"/>
  <c r="BS20" i="4"/>
  <c r="BS21" i="4"/>
  <c r="BS22" i="4"/>
  <c r="BS23" i="4"/>
  <c r="BS24" i="4"/>
  <c r="BS25" i="4"/>
  <c r="BS26" i="4"/>
  <c r="BS27" i="4"/>
  <c r="BS28" i="4"/>
  <c r="BS29" i="4"/>
  <c r="BS30" i="4"/>
  <c r="BS31" i="4"/>
  <c r="BS32" i="4"/>
  <c r="BS33" i="4"/>
  <c r="BS34" i="4"/>
  <c r="BS35" i="4"/>
  <c r="BS36" i="4"/>
  <c r="BS37" i="4"/>
  <c r="BS38" i="4"/>
  <c r="BS39" i="4"/>
  <c r="BS40" i="4"/>
  <c r="BS41" i="4"/>
  <c r="BS42" i="4"/>
  <c r="BS43" i="4"/>
  <c r="BS44" i="4"/>
  <c r="BS45" i="4"/>
  <c r="BS46" i="4"/>
  <c r="BS47" i="4"/>
  <c r="BS48" i="4"/>
  <c r="BS49" i="4"/>
  <c r="BS50" i="4"/>
  <c r="BS51" i="4"/>
  <c r="BS52" i="4"/>
  <c r="BS53" i="4"/>
  <c r="BS54" i="4"/>
  <c r="BS55" i="4"/>
  <c r="BS56" i="4"/>
  <c r="BS57" i="4"/>
  <c r="BS58" i="4"/>
  <c r="BS59" i="4"/>
  <c r="BS60" i="4"/>
  <c r="BS61" i="4"/>
  <c r="BS62" i="4"/>
  <c r="BS63" i="4"/>
  <c r="BS64" i="4"/>
  <c r="BS65" i="4"/>
  <c r="BS66" i="4"/>
  <c r="BS67" i="4"/>
  <c r="BS68" i="4"/>
  <c r="BS69" i="4"/>
  <c r="BS70" i="4"/>
  <c r="BS71" i="4"/>
  <c r="BS72" i="4"/>
  <c r="BS73" i="4"/>
  <c r="BS74" i="4"/>
  <c r="BS75" i="4"/>
  <c r="BS76" i="4"/>
  <c r="BS77" i="4"/>
  <c r="BS78" i="4"/>
  <c r="BS79" i="4"/>
  <c r="BS80" i="4"/>
  <c r="BS81" i="4"/>
  <c r="BS82" i="4"/>
  <c r="BS83" i="4"/>
  <c r="BS84" i="4"/>
  <c r="BS85" i="4"/>
  <c r="BS86" i="4"/>
  <c r="BS87" i="4"/>
  <c r="BS89" i="4"/>
  <c r="BS90" i="4"/>
  <c r="BS91" i="4"/>
  <c r="BS92" i="4"/>
  <c r="BS93" i="4"/>
  <c r="BS94" i="4"/>
  <c r="BS95" i="4"/>
  <c r="BS99" i="4"/>
  <c r="BS100" i="4"/>
  <c r="BS101" i="4"/>
  <c r="BS102" i="4"/>
  <c r="BS105" i="4"/>
  <c r="BS7" i="4"/>
  <c r="BS6" i="4"/>
  <c r="BO8" i="4"/>
  <c r="BO9" i="4"/>
  <c r="BO10" i="4"/>
  <c r="BO11" i="4"/>
  <c r="BO12" i="4"/>
  <c r="BO13" i="4"/>
  <c r="BO14" i="4"/>
  <c r="BO15" i="4"/>
  <c r="BO16" i="4"/>
  <c r="BO17" i="4"/>
  <c r="BO18" i="4"/>
  <c r="BO19" i="4"/>
  <c r="BO20" i="4"/>
  <c r="BO21" i="4"/>
  <c r="BO22" i="4"/>
  <c r="BO23" i="4"/>
  <c r="BO24" i="4"/>
  <c r="BO25" i="4"/>
  <c r="BO26" i="4"/>
  <c r="BO27" i="4"/>
  <c r="BO28" i="4"/>
  <c r="BO29" i="4"/>
  <c r="BO30" i="4"/>
  <c r="BO31" i="4"/>
  <c r="BO32" i="4"/>
  <c r="BO33" i="4"/>
  <c r="BO34" i="4"/>
  <c r="BO35" i="4"/>
  <c r="BO36" i="4"/>
  <c r="BO37" i="4"/>
  <c r="BO38" i="4"/>
  <c r="BO39" i="4"/>
  <c r="BO40" i="4"/>
  <c r="BO41" i="4"/>
  <c r="BO42" i="4"/>
  <c r="BO43" i="4"/>
  <c r="BO44" i="4"/>
  <c r="BO45" i="4"/>
  <c r="BO46" i="4"/>
  <c r="BO47" i="4"/>
  <c r="BO48" i="4"/>
  <c r="BO49" i="4"/>
  <c r="BO50" i="4"/>
  <c r="BO51" i="4"/>
  <c r="BO52" i="4"/>
  <c r="BO53" i="4"/>
  <c r="BO54" i="4"/>
  <c r="BO55" i="4"/>
  <c r="BO56" i="4"/>
  <c r="BO57" i="4"/>
  <c r="BO58" i="4"/>
  <c r="BO59" i="4"/>
  <c r="BO60" i="4"/>
  <c r="BO61" i="4"/>
  <c r="BO62" i="4"/>
  <c r="BO63" i="4"/>
  <c r="BO64" i="4"/>
  <c r="BO65" i="4"/>
  <c r="BO66" i="4"/>
  <c r="BO67" i="4"/>
  <c r="BO68" i="4"/>
  <c r="BO69" i="4"/>
  <c r="BO70" i="4"/>
  <c r="BO71" i="4"/>
  <c r="BO72" i="4"/>
  <c r="BO73" i="4"/>
  <c r="BO74" i="4"/>
  <c r="BO75" i="4"/>
  <c r="BO76" i="4"/>
  <c r="BO77" i="4"/>
  <c r="BO78" i="4"/>
  <c r="BO79" i="4"/>
  <c r="BO80" i="4"/>
  <c r="BO81" i="4"/>
  <c r="BO82" i="4"/>
  <c r="BO83" i="4"/>
  <c r="BO84" i="4"/>
  <c r="BO85" i="4"/>
  <c r="BO86" i="4"/>
  <c r="BO87" i="4"/>
  <c r="BO90" i="4"/>
  <c r="BQ90" i="4" s="1"/>
  <c r="BO91" i="4"/>
  <c r="BO92" i="4"/>
  <c r="BO93" i="4"/>
  <c r="BO94" i="4"/>
  <c r="BO95" i="4"/>
  <c r="BO99" i="4"/>
  <c r="BO100" i="4"/>
  <c r="BO101" i="4"/>
  <c r="BO102" i="4"/>
  <c r="BO105" i="4"/>
  <c r="BO7" i="4"/>
  <c r="BM97" i="4"/>
  <c r="BI97" i="4"/>
  <c r="AB88" i="4"/>
  <c r="AB89" i="4"/>
  <c r="AB97" i="4"/>
  <c r="X88" i="4"/>
  <c r="X89" i="4"/>
  <c r="X97" i="4"/>
  <c r="R86" i="4"/>
  <c r="R87" i="4"/>
  <c r="R89" i="4"/>
  <c r="R90" i="4"/>
  <c r="S90" i="4" s="1"/>
  <c r="R91" i="4"/>
  <c r="S91" i="4" s="1"/>
  <c r="R92" i="4"/>
  <c r="S92" i="4" s="1"/>
  <c r="R93" i="4"/>
  <c r="S93" i="4" s="1"/>
  <c r="R94" i="4"/>
  <c r="S94" i="4" s="1"/>
  <c r="R95" i="4"/>
  <c r="S95" i="4" s="1"/>
  <c r="R98" i="4"/>
  <c r="R99" i="4"/>
  <c r="S99" i="4" s="1"/>
  <c r="R100" i="4"/>
  <c r="S100" i="4" s="1"/>
  <c r="R101" i="4"/>
  <c r="S101" i="4" s="1"/>
  <c r="R102" i="4"/>
  <c r="S102" i="4" s="1"/>
  <c r="T104" i="4"/>
  <c r="R105" i="4"/>
  <c r="R61" i="4"/>
  <c r="R62" i="4"/>
  <c r="R63" i="4"/>
  <c r="R64" i="4"/>
  <c r="R65" i="4"/>
  <c r="R66" i="4"/>
  <c r="R67" i="4"/>
  <c r="R68" i="4"/>
  <c r="R69" i="4"/>
  <c r="R70" i="4"/>
  <c r="R71" i="4"/>
  <c r="R72" i="4"/>
  <c r="R73" i="4"/>
  <c r="R74" i="4"/>
  <c r="R75" i="4"/>
  <c r="R76" i="4"/>
  <c r="R77" i="4"/>
  <c r="R78" i="4"/>
  <c r="R79" i="4"/>
  <c r="R80" i="4"/>
  <c r="R81" i="4"/>
  <c r="R82" i="4"/>
  <c r="R83" i="4"/>
  <c r="R84" i="4"/>
  <c r="R85" i="4"/>
  <c r="R32" i="4"/>
  <c r="R33" i="4"/>
  <c r="R34" i="4"/>
  <c r="R35" i="4"/>
  <c r="R36" i="4"/>
  <c r="R37" i="4"/>
  <c r="R38" i="4"/>
  <c r="R39" i="4"/>
  <c r="R40" i="4"/>
  <c r="R41" i="4"/>
  <c r="R42" i="4"/>
  <c r="R43" i="4"/>
  <c r="R44" i="4"/>
  <c r="R45" i="4"/>
  <c r="R46" i="4"/>
  <c r="R47" i="4"/>
  <c r="R48" i="4"/>
  <c r="R49" i="4"/>
  <c r="R50" i="4"/>
  <c r="R51" i="4"/>
  <c r="R52" i="4"/>
  <c r="R53" i="4"/>
  <c r="R54" i="4"/>
  <c r="R55" i="4"/>
  <c r="R56" i="4"/>
  <c r="R57" i="4"/>
  <c r="R58" i="4"/>
  <c r="R59" i="4"/>
  <c r="R60" i="4"/>
  <c r="R9" i="4"/>
  <c r="S9" i="4" s="1"/>
  <c r="R10" i="4"/>
  <c r="R11" i="4"/>
  <c r="R12" i="4"/>
  <c r="R13" i="4"/>
  <c r="R14" i="4"/>
  <c r="R15" i="4"/>
  <c r="R16" i="4"/>
  <c r="R17" i="4"/>
  <c r="R18" i="4"/>
  <c r="R19" i="4"/>
  <c r="R20" i="4"/>
  <c r="R21" i="4"/>
  <c r="R22" i="4"/>
  <c r="R23" i="4"/>
  <c r="R24" i="4"/>
  <c r="R25" i="4"/>
  <c r="R26" i="4"/>
  <c r="R27" i="4"/>
  <c r="R28" i="4"/>
  <c r="R29" i="4"/>
  <c r="R30" i="4"/>
  <c r="R31" i="4"/>
  <c r="R7" i="4"/>
  <c r="S7" i="4" s="1"/>
  <c r="R8" i="4"/>
  <c r="S8" i="4" s="1"/>
  <c r="N109" i="4"/>
  <c r="N100" i="4"/>
  <c r="N101" i="4"/>
  <c r="N102" i="4"/>
  <c r="N98" i="4"/>
  <c r="N91" i="4"/>
  <c r="N92" i="4"/>
  <c r="N93" i="4"/>
  <c r="N94" i="4"/>
  <c r="N95" i="4"/>
  <c r="N90" i="4"/>
  <c r="C103" i="4"/>
  <c r="D103" i="4"/>
  <c r="E103" i="4"/>
  <c r="F103" i="4"/>
  <c r="G103" i="4"/>
  <c r="H103" i="4"/>
  <c r="I103" i="4"/>
  <c r="J103" i="4"/>
  <c r="K103" i="4"/>
  <c r="L103" i="4"/>
  <c r="M103" i="4"/>
  <c r="B103" i="4"/>
  <c r="C96" i="4"/>
  <c r="C8" i="9" s="1"/>
  <c r="D96" i="4"/>
  <c r="C9" i="9" s="1"/>
  <c r="E96" i="4"/>
  <c r="C10" i="9" s="1"/>
  <c r="F96" i="4"/>
  <c r="C11" i="9" s="1"/>
  <c r="G96" i="4"/>
  <c r="C12" i="9" s="1"/>
  <c r="H96" i="4"/>
  <c r="C13" i="9" s="1"/>
  <c r="I96" i="4"/>
  <c r="C14" i="9" s="1"/>
  <c r="J96" i="4"/>
  <c r="C15" i="9" s="1"/>
  <c r="K96" i="4"/>
  <c r="C16" i="9" s="1"/>
  <c r="L96" i="4"/>
  <c r="C17" i="9" s="1"/>
  <c r="M96" i="4"/>
  <c r="C18" i="9" s="1"/>
  <c r="B96" i="4"/>
  <c r="C7" i="9" s="1"/>
  <c r="K19" i="7"/>
  <c r="J9" i="7"/>
  <c r="J10" i="7"/>
  <c r="J11" i="7"/>
  <c r="J12" i="7"/>
  <c r="J13" i="7"/>
  <c r="J14" i="7"/>
  <c r="J15" i="7"/>
  <c r="J16" i="7"/>
  <c r="J17" i="7"/>
  <c r="J18" i="7"/>
  <c r="J19" i="7"/>
  <c r="J8" i="7"/>
  <c r="F9" i="8"/>
  <c r="F10" i="8"/>
  <c r="F11" i="8"/>
  <c r="F12" i="8"/>
  <c r="F13" i="8" s="1"/>
  <c r="F14" i="8" s="1"/>
  <c r="F15" i="8" s="1"/>
  <c r="F16" i="8" s="1"/>
  <c r="F17" i="8" s="1"/>
  <c r="F18" i="8" s="1"/>
  <c r="F8" i="8"/>
  <c r="F7" i="8"/>
  <c r="G6" i="6"/>
  <c r="S30" i="4" l="1"/>
  <c r="BG30" i="4"/>
  <c r="BH30" i="4" s="1"/>
  <c r="S22" i="4"/>
  <c r="BG22" i="4"/>
  <c r="BH22" i="4" s="1"/>
  <c r="S10" i="4"/>
  <c r="BG10" i="4"/>
  <c r="S50" i="4"/>
  <c r="BG50" i="4"/>
  <c r="BH50" i="4" s="1"/>
  <c r="S34" i="4"/>
  <c r="BG34" i="4"/>
  <c r="BH34" i="4" s="1"/>
  <c r="S76" i="4"/>
  <c r="BG76" i="4"/>
  <c r="BH76" i="4" s="1"/>
  <c r="S64" i="4"/>
  <c r="BG64" i="4"/>
  <c r="BH64" i="4" s="1"/>
  <c r="S31" i="4"/>
  <c r="BG31" i="4"/>
  <c r="BH31" i="4" s="1"/>
  <c r="S27" i="4"/>
  <c r="BG27" i="4"/>
  <c r="BH27" i="4" s="1"/>
  <c r="S23" i="4"/>
  <c r="BG23" i="4"/>
  <c r="BH23" i="4" s="1"/>
  <c r="S19" i="4"/>
  <c r="BG19" i="4"/>
  <c r="BH19" i="4" s="1"/>
  <c r="S15" i="4"/>
  <c r="BG15" i="4"/>
  <c r="BH15" i="4" s="1"/>
  <c r="S11" i="4"/>
  <c r="BG11" i="4"/>
  <c r="S59" i="4"/>
  <c r="BG59" i="4"/>
  <c r="BH59" i="4" s="1"/>
  <c r="S55" i="4"/>
  <c r="BG55" i="4"/>
  <c r="BH55" i="4" s="1"/>
  <c r="S51" i="4"/>
  <c r="BG51" i="4"/>
  <c r="BH51" i="4" s="1"/>
  <c r="S47" i="4"/>
  <c r="BG47" i="4"/>
  <c r="BH47" i="4" s="1"/>
  <c r="S43" i="4"/>
  <c r="BG43" i="4"/>
  <c r="BH43" i="4" s="1"/>
  <c r="S39" i="4"/>
  <c r="BG39" i="4"/>
  <c r="BH39" i="4" s="1"/>
  <c r="S35" i="4"/>
  <c r="BG35" i="4"/>
  <c r="BH35" i="4" s="1"/>
  <c r="S85" i="4"/>
  <c r="BG85" i="4"/>
  <c r="BH85" i="4" s="1"/>
  <c r="S81" i="4"/>
  <c r="BG81" i="4"/>
  <c r="BH81" i="4" s="1"/>
  <c r="S77" i="4"/>
  <c r="BG77" i="4"/>
  <c r="BH77" i="4" s="1"/>
  <c r="S73" i="4"/>
  <c r="BG73" i="4"/>
  <c r="BH73" i="4" s="1"/>
  <c r="S69" i="4"/>
  <c r="BG69" i="4"/>
  <c r="BH69" i="4" s="1"/>
  <c r="S65" i="4"/>
  <c r="BG65" i="4"/>
  <c r="BH65" i="4" s="1"/>
  <c r="S61" i="4"/>
  <c r="BG61" i="4"/>
  <c r="BH61" i="4" s="1"/>
  <c r="S86" i="4"/>
  <c r="BG86" i="4"/>
  <c r="BH86" i="4" s="1"/>
  <c r="S26" i="4"/>
  <c r="BG26" i="4"/>
  <c r="BH26" i="4" s="1"/>
  <c r="S14" i="4"/>
  <c r="BG14" i="4"/>
  <c r="BH14" i="4" s="1"/>
  <c r="S58" i="4"/>
  <c r="BG58" i="4"/>
  <c r="BH58" i="4" s="1"/>
  <c r="S46" i="4"/>
  <c r="BG46" i="4"/>
  <c r="BH46" i="4" s="1"/>
  <c r="S38" i="4"/>
  <c r="BG38" i="4"/>
  <c r="BH38" i="4" s="1"/>
  <c r="S80" i="4"/>
  <c r="BG80" i="4"/>
  <c r="BH80" i="4" s="1"/>
  <c r="S68" i="4"/>
  <c r="BG68" i="4"/>
  <c r="BH68" i="4" s="1"/>
  <c r="S29" i="4"/>
  <c r="BG29" i="4"/>
  <c r="BH29" i="4" s="1"/>
  <c r="S25" i="4"/>
  <c r="BG25" i="4"/>
  <c r="BH25" i="4" s="1"/>
  <c r="S21" i="4"/>
  <c r="BG21" i="4"/>
  <c r="BH21" i="4" s="1"/>
  <c r="S17" i="4"/>
  <c r="BG17" i="4"/>
  <c r="BH17" i="4" s="1"/>
  <c r="S13" i="4"/>
  <c r="BG13" i="4"/>
  <c r="BH13" i="4" s="1"/>
  <c r="S57" i="4"/>
  <c r="BG57" i="4"/>
  <c r="BH57" i="4" s="1"/>
  <c r="S53" i="4"/>
  <c r="BG53" i="4"/>
  <c r="BH53" i="4" s="1"/>
  <c r="S49" i="4"/>
  <c r="BG49" i="4"/>
  <c r="BH49" i="4" s="1"/>
  <c r="S45" i="4"/>
  <c r="BG45" i="4"/>
  <c r="BH45" i="4" s="1"/>
  <c r="S41" i="4"/>
  <c r="BG41" i="4"/>
  <c r="BH41" i="4" s="1"/>
  <c r="S37" i="4"/>
  <c r="BG37" i="4"/>
  <c r="BH37" i="4" s="1"/>
  <c r="S33" i="4"/>
  <c r="BG33" i="4"/>
  <c r="BH33" i="4" s="1"/>
  <c r="S83" i="4"/>
  <c r="BG83" i="4"/>
  <c r="BH83" i="4" s="1"/>
  <c r="S79" i="4"/>
  <c r="BG79" i="4"/>
  <c r="BH79" i="4" s="1"/>
  <c r="S75" i="4"/>
  <c r="BG75" i="4"/>
  <c r="BH75" i="4" s="1"/>
  <c r="S71" i="4"/>
  <c r="BG71" i="4"/>
  <c r="BH71" i="4" s="1"/>
  <c r="S67" i="4"/>
  <c r="BG67" i="4"/>
  <c r="BH67" i="4" s="1"/>
  <c r="S63" i="4"/>
  <c r="BG63" i="4"/>
  <c r="BH63" i="4" s="1"/>
  <c r="S18" i="4"/>
  <c r="BG18" i="4"/>
  <c r="BH18" i="4" s="1"/>
  <c r="S54" i="4"/>
  <c r="BG54" i="4"/>
  <c r="BH54" i="4" s="1"/>
  <c r="S42" i="4"/>
  <c r="BG42" i="4"/>
  <c r="BH42" i="4" s="1"/>
  <c r="S84" i="4"/>
  <c r="BG84" i="4"/>
  <c r="BH84" i="4" s="1"/>
  <c r="S72" i="4"/>
  <c r="BG72" i="4"/>
  <c r="BH72" i="4" s="1"/>
  <c r="S28" i="4"/>
  <c r="BG28" i="4"/>
  <c r="BH28" i="4" s="1"/>
  <c r="S24" i="4"/>
  <c r="BG24" i="4"/>
  <c r="BH24" i="4" s="1"/>
  <c r="S20" i="4"/>
  <c r="BG20" i="4"/>
  <c r="BH20" i="4" s="1"/>
  <c r="S16" i="4"/>
  <c r="BG16" i="4"/>
  <c r="BH16" i="4" s="1"/>
  <c r="S12" i="4"/>
  <c r="BG12" i="4"/>
  <c r="BH12" i="4" s="1"/>
  <c r="S60" i="4"/>
  <c r="BG60" i="4"/>
  <c r="BH60" i="4" s="1"/>
  <c r="S56" i="4"/>
  <c r="BG56" i="4"/>
  <c r="BH56" i="4" s="1"/>
  <c r="S52" i="4"/>
  <c r="BG52" i="4"/>
  <c r="BH52" i="4" s="1"/>
  <c r="S48" i="4"/>
  <c r="BG48" i="4"/>
  <c r="BH48" i="4" s="1"/>
  <c r="S44" i="4"/>
  <c r="BG44" i="4"/>
  <c r="BH44" i="4" s="1"/>
  <c r="S40" i="4"/>
  <c r="BG40" i="4"/>
  <c r="BH40" i="4" s="1"/>
  <c r="S36" i="4"/>
  <c r="BG36" i="4"/>
  <c r="BH36" i="4" s="1"/>
  <c r="S32" i="4"/>
  <c r="BG32" i="4"/>
  <c r="BH32" i="4" s="1"/>
  <c r="S82" i="4"/>
  <c r="BG82" i="4"/>
  <c r="BH82" i="4" s="1"/>
  <c r="S78" i="4"/>
  <c r="BG78" i="4"/>
  <c r="BH78" i="4" s="1"/>
  <c r="S74" i="4"/>
  <c r="BG74" i="4"/>
  <c r="BH74" i="4" s="1"/>
  <c r="S70" i="4"/>
  <c r="BG70" i="4"/>
  <c r="BH70" i="4" s="1"/>
  <c r="S66" i="4"/>
  <c r="BG66" i="4"/>
  <c r="BH66" i="4" s="1"/>
  <c r="S62" i="4"/>
  <c r="BG62" i="4"/>
  <c r="BH62" i="4" s="1"/>
  <c r="S103" i="4"/>
  <c r="S96" i="4"/>
  <c r="T25" i="4"/>
  <c r="T53" i="4"/>
  <c r="T28" i="4"/>
  <c r="T24" i="4"/>
  <c r="T20" i="4"/>
  <c r="T16" i="4"/>
  <c r="T12" i="4"/>
  <c r="T60" i="4"/>
  <c r="T56" i="4"/>
  <c r="T52" i="4"/>
  <c r="T48" i="4"/>
  <c r="T44" i="4"/>
  <c r="T40" i="4"/>
  <c r="T36" i="4"/>
  <c r="T32" i="4"/>
  <c r="T82" i="4"/>
  <c r="T78" i="4"/>
  <c r="T74" i="4"/>
  <c r="T66" i="4"/>
  <c r="T62" i="4"/>
  <c r="T99" i="4"/>
  <c r="T95" i="4"/>
  <c r="T91" i="4"/>
  <c r="T86" i="4"/>
  <c r="Z91" i="4"/>
  <c r="AA91" i="4" s="1"/>
  <c r="T8" i="4"/>
  <c r="T17" i="4"/>
  <c r="T31" i="4"/>
  <c r="T27" i="4"/>
  <c r="T23" i="4"/>
  <c r="T19" i="4"/>
  <c r="T15" i="4"/>
  <c r="T11" i="4"/>
  <c r="T59" i="4"/>
  <c r="T55" i="4"/>
  <c r="T51" i="4"/>
  <c r="T47" i="4"/>
  <c r="T43" i="4"/>
  <c r="T39" i="4"/>
  <c r="T35" i="4"/>
  <c r="T85" i="4"/>
  <c r="T81" i="4"/>
  <c r="T77" i="4"/>
  <c r="T73" i="4"/>
  <c r="T69" i="4"/>
  <c r="T65" i="4"/>
  <c r="T61" i="4"/>
  <c r="T98" i="4"/>
  <c r="T94" i="4"/>
  <c r="T90" i="4"/>
  <c r="T7" i="4"/>
  <c r="T29" i="4"/>
  <c r="T9" i="4"/>
  <c r="N96" i="4"/>
  <c r="T30" i="4"/>
  <c r="T26" i="4"/>
  <c r="T22" i="4"/>
  <c r="T18" i="4"/>
  <c r="T14" i="4"/>
  <c r="T10" i="4"/>
  <c r="T58" i="4"/>
  <c r="T54" i="4"/>
  <c r="T50" i="4"/>
  <c r="T46" i="4"/>
  <c r="T42" i="4"/>
  <c r="T38" i="4"/>
  <c r="T34" i="4"/>
  <c r="T84" i="4"/>
  <c r="T80" i="4"/>
  <c r="T76" i="4"/>
  <c r="T72" i="4"/>
  <c r="T68" i="4"/>
  <c r="T64" i="4"/>
  <c r="T101" i="4"/>
  <c r="T97" i="4"/>
  <c r="T93" i="4"/>
  <c r="T89" i="4"/>
  <c r="T92" i="4"/>
  <c r="T21" i="4"/>
  <c r="T13" i="4"/>
  <c r="T57" i="4"/>
  <c r="T49" i="4"/>
  <c r="T45" i="4"/>
  <c r="T41" i="4"/>
  <c r="T37" i="4"/>
  <c r="T33" i="4"/>
  <c r="T83" i="4"/>
  <c r="T79" i="4"/>
  <c r="T75" i="4"/>
  <c r="T71" i="4"/>
  <c r="T67" i="4"/>
  <c r="T63" i="4"/>
  <c r="T100" i="4"/>
  <c r="T70" i="4"/>
  <c r="Z90" i="4"/>
  <c r="BG90" i="4"/>
  <c r="BH90" i="4" s="1"/>
  <c r="AD91" i="4"/>
  <c r="BK90" i="4"/>
  <c r="BM90" i="4" s="1"/>
  <c r="V90" i="4"/>
  <c r="AD90" i="4"/>
  <c r="AL90" i="4" s="1"/>
  <c r="BK102" i="4"/>
  <c r="BM102" i="4" s="1"/>
  <c r="Z102" i="4"/>
  <c r="BG102" i="4"/>
  <c r="V102" i="4"/>
  <c r="AD102" i="4"/>
  <c r="AL102" i="4" s="1"/>
  <c r="AD101" i="4"/>
  <c r="AL101" i="4" s="1"/>
  <c r="BG101" i="4"/>
  <c r="V101" i="4"/>
  <c r="Z101" i="4"/>
  <c r="BK101" i="4"/>
  <c r="BM101" i="4" s="1"/>
  <c r="BK99" i="4"/>
  <c r="BM99" i="4" s="1"/>
  <c r="Z99" i="4"/>
  <c r="AD99" i="4"/>
  <c r="AL99" i="4" s="1"/>
  <c r="BG99" i="4"/>
  <c r="V99" i="4"/>
  <c r="T102" i="4"/>
  <c r="M21" i="2"/>
  <c r="BI101" i="4" l="1"/>
  <c r="BU101" i="4" s="1"/>
  <c r="BH101" i="4"/>
  <c r="BI102" i="4"/>
  <c r="BU102" i="4" s="1"/>
  <c r="BH102" i="4"/>
  <c r="BI99" i="4"/>
  <c r="BU99" i="4" s="1"/>
  <c r="BH99" i="4"/>
  <c r="BH11" i="4"/>
  <c r="BI11" i="4"/>
  <c r="AM101" i="4"/>
  <c r="AN101" i="4"/>
  <c r="AB102" i="4"/>
  <c r="AA102" i="4"/>
  <c r="AM99" i="4"/>
  <c r="AN99" i="4"/>
  <c r="AB101" i="4"/>
  <c r="AA101" i="4"/>
  <c r="AM102" i="4"/>
  <c r="AN102" i="4"/>
  <c r="X101" i="4"/>
  <c r="AF101" i="4" s="1"/>
  <c r="W101" i="4"/>
  <c r="X102" i="4"/>
  <c r="W102" i="4"/>
  <c r="AM90" i="4"/>
  <c r="AN90" i="4"/>
  <c r="BI90" i="4"/>
  <c r="X99" i="4"/>
  <c r="W99" i="4"/>
  <c r="X90" i="4"/>
  <c r="W90" i="4"/>
  <c r="AB90" i="4"/>
  <c r="AA90" i="4"/>
  <c r="AB99" i="4"/>
  <c r="AA99" i="4"/>
  <c r="B7" i="9"/>
  <c r="T103" i="4"/>
  <c r="T96" i="4"/>
  <c r="AP90" i="4"/>
  <c r="AP99" i="4"/>
  <c r="AP102" i="4"/>
  <c r="AP101" i="4"/>
  <c r="AE101" i="4" l="1"/>
  <c r="AF102" i="4"/>
  <c r="AF90" i="4"/>
  <c r="AE102" i="4"/>
  <c r="AF99" i="4"/>
  <c r="AQ101" i="4"/>
  <c r="AR101" i="4"/>
  <c r="AE90" i="4"/>
  <c r="AQ99" i="4"/>
  <c r="AR99" i="4"/>
  <c r="AQ102" i="4"/>
  <c r="AR102" i="4"/>
  <c r="AQ90" i="4"/>
  <c r="AR90" i="4"/>
  <c r="AE99" i="4"/>
  <c r="AT90" i="4"/>
  <c r="AT102" i="4"/>
  <c r="AT101" i="4"/>
  <c r="AT99" i="4"/>
  <c r="B25" i="2"/>
  <c r="B22" i="2"/>
  <c r="B21" i="2"/>
  <c r="M14" i="6"/>
  <c r="K14" i="6"/>
  <c r="M12" i="6"/>
  <c r="K12" i="6"/>
  <c r="AU101" i="4" l="1"/>
  <c r="AY101" i="4" s="1"/>
  <c r="AV101" i="4"/>
  <c r="AZ101" i="4" s="1"/>
  <c r="AU102" i="4"/>
  <c r="AY102" i="4" s="1"/>
  <c r="AV102" i="4"/>
  <c r="AZ102" i="4" s="1"/>
  <c r="AU90" i="4"/>
  <c r="AV90" i="4"/>
  <c r="AZ90" i="4" s="1"/>
  <c r="AU99" i="4"/>
  <c r="AV99" i="4"/>
  <c r="AY90" i="4"/>
  <c r="AX90" i="4"/>
  <c r="AX101" i="4"/>
  <c r="AX99" i="4"/>
  <c r="AX102" i="4"/>
  <c r="BQ100" i="4"/>
  <c r="BQ103" i="4" s="1"/>
  <c r="BP100" i="4"/>
  <c r="BQ83" i="4"/>
  <c r="BQ84" i="4"/>
  <c r="BQ85" i="4"/>
  <c r="BQ86" i="4"/>
  <c r="BP91" i="4"/>
  <c r="BQ91" i="4"/>
  <c r="BP92" i="4"/>
  <c r="BQ92" i="4"/>
  <c r="BP93" i="4"/>
  <c r="BQ93" i="4"/>
  <c r="BP94" i="4"/>
  <c r="BQ94" i="4"/>
  <c r="BP95" i="4"/>
  <c r="BQ95" i="4"/>
  <c r="BQ62" i="4"/>
  <c r="BQ63" i="4"/>
  <c r="BQ64" i="4"/>
  <c r="BQ65" i="4"/>
  <c r="BQ66" i="4"/>
  <c r="BQ67" i="4"/>
  <c r="BQ68" i="4"/>
  <c r="BQ69" i="4"/>
  <c r="BQ70" i="4"/>
  <c r="BQ71" i="4"/>
  <c r="BQ72" i="4"/>
  <c r="BQ73" i="4"/>
  <c r="BQ74" i="4"/>
  <c r="BQ75" i="4"/>
  <c r="BQ76" i="4"/>
  <c r="BQ77" i="4"/>
  <c r="BQ78" i="4"/>
  <c r="BQ79" i="4"/>
  <c r="BQ80" i="4"/>
  <c r="BQ81" i="4"/>
  <c r="BQ82" i="4"/>
  <c r="BQ40" i="4"/>
  <c r="BQ41" i="4"/>
  <c r="BQ42" i="4"/>
  <c r="BQ43" i="4"/>
  <c r="BQ44" i="4"/>
  <c r="BQ45" i="4"/>
  <c r="BQ46" i="4"/>
  <c r="BQ47" i="4"/>
  <c r="BQ48" i="4"/>
  <c r="BQ49" i="4"/>
  <c r="BQ50" i="4"/>
  <c r="BQ51" i="4"/>
  <c r="BQ52" i="4"/>
  <c r="BQ53" i="4"/>
  <c r="BQ54" i="4"/>
  <c r="BQ55" i="4"/>
  <c r="BQ56" i="4"/>
  <c r="BQ57" i="4"/>
  <c r="BQ58" i="4"/>
  <c r="BQ59" i="4"/>
  <c r="BQ60" i="4"/>
  <c r="BQ61" i="4"/>
  <c r="BQ13" i="4"/>
  <c r="BQ14" i="4"/>
  <c r="BQ15" i="4"/>
  <c r="BQ16" i="4"/>
  <c r="BQ17" i="4"/>
  <c r="BQ18" i="4"/>
  <c r="BQ19" i="4"/>
  <c r="BQ20" i="4"/>
  <c r="BQ21" i="4"/>
  <c r="BQ22" i="4"/>
  <c r="BQ23" i="4"/>
  <c r="BQ24" i="4"/>
  <c r="BQ25" i="4"/>
  <c r="BQ26" i="4"/>
  <c r="BQ27" i="4"/>
  <c r="BQ28" i="4"/>
  <c r="BQ29" i="4"/>
  <c r="BQ30" i="4"/>
  <c r="BQ31" i="4"/>
  <c r="BQ32" i="4"/>
  <c r="BQ33" i="4"/>
  <c r="BQ34" i="4"/>
  <c r="BQ35" i="4"/>
  <c r="BQ36" i="4"/>
  <c r="BQ37" i="4"/>
  <c r="BQ38" i="4"/>
  <c r="BQ39" i="4"/>
  <c r="BQ7" i="4"/>
  <c r="BQ8" i="4"/>
  <c r="BQ9" i="4"/>
  <c r="BQ10" i="4"/>
  <c r="BQ11" i="4"/>
  <c r="BQ12" i="4"/>
  <c r="BK11" i="4"/>
  <c r="BQ96" i="4" l="1"/>
  <c r="BP96" i="4"/>
  <c r="BP103" i="4"/>
  <c r="AY99" i="4"/>
  <c r="AZ99" i="4"/>
  <c r="BM11" i="4"/>
  <c r="BU11" i="4" s="1"/>
  <c r="BK43" i="4"/>
  <c r="BM43" i="4" s="1"/>
  <c r="BK44" i="4"/>
  <c r="BM44" i="4" s="1"/>
  <c r="BK45" i="4"/>
  <c r="BM45" i="4" s="1"/>
  <c r="BK46" i="4"/>
  <c r="BM46" i="4" s="1"/>
  <c r="BK47" i="4"/>
  <c r="BM47" i="4" s="1"/>
  <c r="BK48" i="4"/>
  <c r="BM48" i="4" s="1"/>
  <c r="BK50" i="4"/>
  <c r="BM50" i="4" s="1"/>
  <c r="BK56" i="4"/>
  <c r="BM56" i="4" s="1"/>
  <c r="BK12" i="4"/>
  <c r="BM12" i="4" s="1"/>
  <c r="BK7" i="4"/>
  <c r="BI43" i="4"/>
  <c r="BU43" i="4" s="1"/>
  <c r="BI44" i="4"/>
  <c r="BI45" i="4"/>
  <c r="BI46" i="4"/>
  <c r="BI47" i="4"/>
  <c r="BU47" i="4" s="1"/>
  <c r="BI48" i="4"/>
  <c r="BI50" i="4"/>
  <c r="BI56" i="4"/>
  <c r="BG7" i="4"/>
  <c r="BI12" i="4"/>
  <c r="BU5" i="4"/>
  <c r="BT5" i="4"/>
  <c r="BS5" i="4"/>
  <c r="BU56" i="4" l="1"/>
  <c r="BU46" i="4"/>
  <c r="BU50" i="4"/>
  <c r="BU45" i="4"/>
  <c r="BU12" i="4"/>
  <c r="BU48" i="4"/>
  <c r="BU44" i="4"/>
  <c r="BP105" i="4"/>
  <c r="BI7" i="4"/>
  <c r="BH7" i="4"/>
  <c r="BM7" i="4"/>
  <c r="F74" i="2"/>
  <c r="G74" i="2"/>
  <c r="H74" i="2"/>
  <c r="I74" i="2"/>
  <c r="J74" i="2"/>
  <c r="F75" i="2"/>
  <c r="G75" i="2"/>
  <c r="H75" i="2"/>
  <c r="I75" i="2"/>
  <c r="J75" i="2"/>
  <c r="G73" i="2"/>
  <c r="H73" i="2"/>
  <c r="I73" i="2"/>
  <c r="J73" i="2"/>
  <c r="F73" i="2"/>
  <c r="N76" i="2"/>
  <c r="M76" i="2"/>
  <c r="L76" i="2"/>
  <c r="K76" i="2"/>
  <c r="J76" i="2"/>
  <c r="I76" i="2"/>
  <c r="H76" i="2"/>
  <c r="G76" i="2"/>
  <c r="F76" i="2"/>
  <c r="G60" i="2"/>
  <c r="H60" i="2"/>
  <c r="I60" i="2"/>
  <c r="J60" i="2"/>
  <c r="G61" i="2"/>
  <c r="H61" i="2"/>
  <c r="I61" i="2"/>
  <c r="J61" i="2"/>
  <c r="G62" i="2"/>
  <c r="H62" i="2"/>
  <c r="I62" i="2"/>
  <c r="J62" i="2"/>
  <c r="F61" i="2"/>
  <c r="F62" i="2"/>
  <c r="F60" i="2"/>
  <c r="B51" i="2"/>
  <c r="BU7" i="4" l="1"/>
  <c r="N59" i="2"/>
  <c r="M59" i="2"/>
  <c r="L59" i="2"/>
  <c r="K59" i="2"/>
  <c r="F67" i="2"/>
  <c r="G67" i="2"/>
  <c r="H67" i="2"/>
  <c r="I67" i="2"/>
  <c r="J67" i="2"/>
  <c r="F68" i="2"/>
  <c r="G68" i="2"/>
  <c r="H68" i="2"/>
  <c r="I68" i="2"/>
  <c r="J68" i="2"/>
  <c r="G66" i="2"/>
  <c r="H66" i="2"/>
  <c r="I66" i="2"/>
  <c r="J66" i="2"/>
  <c r="F66" i="2"/>
  <c r="J63" i="2"/>
  <c r="J69" i="2" s="1"/>
  <c r="F63" i="2"/>
  <c r="F69" i="2" s="1"/>
  <c r="E63" i="2"/>
  <c r="G63" i="2"/>
  <c r="G69" i="2" s="1"/>
  <c r="N61" i="2" l="1"/>
  <c r="N62" i="2"/>
  <c r="N60" i="2"/>
  <c r="M61" i="2"/>
  <c r="M62" i="2"/>
  <c r="M60" i="2"/>
  <c r="L60" i="2"/>
  <c r="L62" i="2"/>
  <c r="L61" i="2"/>
  <c r="K61" i="2"/>
  <c r="K62" i="2"/>
  <c r="K60" i="2"/>
  <c r="H63" i="2"/>
  <c r="H69" i="2" s="1"/>
  <c r="I63" i="2"/>
  <c r="I69" i="2" s="1"/>
  <c r="H11" i="3"/>
  <c r="H12" i="3"/>
  <c r="H13" i="3"/>
  <c r="H14" i="3"/>
  <c r="N73" i="2" l="1"/>
  <c r="N66" i="2"/>
  <c r="N63" i="2"/>
  <c r="N69" i="2" s="1"/>
  <c r="N75" i="2"/>
  <c r="N68" i="2"/>
  <c r="N74" i="2"/>
  <c r="N67" i="2"/>
  <c r="M73" i="2"/>
  <c r="M66" i="2"/>
  <c r="M63" i="2"/>
  <c r="M69" i="2" s="1"/>
  <c r="M75" i="2"/>
  <c r="M68" i="2"/>
  <c r="M74" i="2"/>
  <c r="M67" i="2"/>
  <c r="L73" i="2"/>
  <c r="L63" i="2"/>
  <c r="L69" i="2" s="1"/>
  <c r="L66" i="2"/>
  <c r="L74" i="2"/>
  <c r="L67" i="2"/>
  <c r="L75" i="2"/>
  <c r="L68" i="2"/>
  <c r="K73" i="2"/>
  <c r="K63" i="2"/>
  <c r="K69" i="2" s="1"/>
  <c r="K66" i="2"/>
  <c r="K75" i="2"/>
  <c r="K68" i="2"/>
  <c r="K74" i="2"/>
  <c r="K67" i="2"/>
  <c r="M25" i="2"/>
  <c r="I26" i="2" l="1"/>
  <c r="AK111" i="4" l="1"/>
  <c r="AZ5" i="4" l="1"/>
  <c r="B16" i="9" l="1"/>
  <c r="B17" i="9"/>
  <c r="B18" i="9"/>
  <c r="AT5" i="4" l="1"/>
  <c r="AX5" i="4" s="1"/>
  <c r="AU5" i="4"/>
  <c r="AY5" i="4" s="1"/>
  <c r="I5" i="64" l="1"/>
  <c r="K41" i="64"/>
  <c r="K5" i="64" s="1"/>
  <c r="I75" i="64" l="1"/>
  <c r="I6" i="64" s="1"/>
  <c r="J75" i="64"/>
  <c r="H75" i="64"/>
  <c r="H6" i="64" s="1"/>
  <c r="G50" i="64"/>
  <c r="G51" i="64"/>
  <c r="G52" i="64"/>
  <c r="G53" i="64"/>
  <c r="G54" i="64"/>
  <c r="G55" i="64"/>
  <c r="G56" i="64"/>
  <c r="G57" i="64"/>
  <c r="G58" i="64"/>
  <c r="G59" i="64"/>
  <c r="G60" i="64"/>
  <c r="G61" i="64"/>
  <c r="G62" i="64"/>
  <c r="G63" i="64"/>
  <c r="G64" i="64"/>
  <c r="G65" i="64"/>
  <c r="G66" i="64"/>
  <c r="G67" i="64"/>
  <c r="G68" i="64"/>
  <c r="G69" i="64"/>
  <c r="G70" i="64"/>
  <c r="G71" i="64"/>
  <c r="G72" i="64"/>
  <c r="G73" i="64"/>
  <c r="G74" i="64"/>
  <c r="G44" i="64"/>
  <c r="G45" i="64"/>
  <c r="G46" i="64"/>
  <c r="G47" i="64"/>
  <c r="G48" i="64"/>
  <c r="G49" i="64"/>
  <c r="G11" i="64"/>
  <c r="G12" i="64"/>
  <c r="G13" i="64"/>
  <c r="G14" i="64"/>
  <c r="G15" i="64"/>
  <c r="G16" i="64"/>
  <c r="G17" i="64"/>
  <c r="G18" i="64"/>
  <c r="G19" i="64"/>
  <c r="G20" i="64"/>
  <c r="G21" i="64"/>
  <c r="G22" i="64"/>
  <c r="G23" i="64"/>
  <c r="G24" i="64"/>
  <c r="G25" i="64"/>
  <c r="G26" i="64"/>
  <c r="G27" i="64"/>
  <c r="G28" i="64"/>
  <c r="G29" i="64"/>
  <c r="G30" i="64"/>
  <c r="G31" i="64"/>
  <c r="G32" i="64"/>
  <c r="G33" i="64"/>
  <c r="G34" i="64"/>
  <c r="G35" i="64"/>
  <c r="G36" i="64"/>
  <c r="G37" i="64"/>
  <c r="G38" i="64"/>
  <c r="G39" i="64"/>
  <c r="G40" i="64"/>
  <c r="G10" i="64"/>
  <c r="K75" i="64" l="1"/>
  <c r="K6" i="64" s="1"/>
  <c r="I22" i="3" l="1"/>
  <c r="I23" i="3"/>
  <c r="I24" i="3"/>
  <c r="I21" i="3"/>
  <c r="E75" i="64" l="1"/>
  <c r="E6" i="64" s="1"/>
  <c r="AD7" i="4"/>
  <c r="AL7" i="4" s="1"/>
  <c r="AD12" i="4"/>
  <c r="AL12" i="4" s="1"/>
  <c r="AD43" i="4"/>
  <c r="AL43" i="4" s="1"/>
  <c r="AD44" i="4"/>
  <c r="AL44" i="4" s="1"/>
  <c r="AD45" i="4"/>
  <c r="AL45" i="4" s="1"/>
  <c r="AD46" i="4"/>
  <c r="AL46" i="4" s="1"/>
  <c r="AD47" i="4"/>
  <c r="AL47" i="4" s="1"/>
  <c r="AD48" i="4"/>
  <c r="AL48" i="4" s="1"/>
  <c r="AD50" i="4"/>
  <c r="AL50" i="4" s="1"/>
  <c r="AD56" i="4"/>
  <c r="AL56" i="4" s="1"/>
  <c r="Z43" i="4"/>
  <c r="Z44" i="4"/>
  <c r="Z45" i="4"/>
  <c r="Z46" i="4"/>
  <c r="AA46" i="4" s="1"/>
  <c r="Z47" i="4"/>
  <c r="Z48" i="4"/>
  <c r="Z50" i="4"/>
  <c r="Z56" i="4"/>
  <c r="Z7" i="4"/>
  <c r="Z12" i="4"/>
  <c r="V7" i="4"/>
  <c r="V12" i="4"/>
  <c r="V43" i="4"/>
  <c r="V44" i="4"/>
  <c r="V45" i="4"/>
  <c r="V46" i="4"/>
  <c r="V47" i="4"/>
  <c r="V48" i="4"/>
  <c r="V50" i="4"/>
  <c r="V56" i="4"/>
  <c r="AM56" i="4" l="1"/>
  <c r="AN56" i="4"/>
  <c r="X50" i="4"/>
  <c r="W50" i="4"/>
  <c r="AB50" i="4"/>
  <c r="AA50" i="4"/>
  <c r="X44" i="4"/>
  <c r="W44" i="4"/>
  <c r="AB48" i="4"/>
  <c r="AA48" i="4"/>
  <c r="X47" i="4"/>
  <c r="W47" i="4"/>
  <c r="X43" i="4"/>
  <c r="W43" i="4"/>
  <c r="AB7" i="4"/>
  <c r="AA7" i="4"/>
  <c r="AB47" i="4"/>
  <c r="AA47" i="4"/>
  <c r="AB43" i="4"/>
  <c r="AA43" i="4"/>
  <c r="AM47" i="4"/>
  <c r="AN47" i="4"/>
  <c r="AM43" i="4"/>
  <c r="AN43" i="4"/>
  <c r="X56" i="4"/>
  <c r="W56" i="4"/>
  <c r="X12" i="4"/>
  <c r="W12" i="4"/>
  <c r="AM46" i="4"/>
  <c r="AN46" i="4"/>
  <c r="X7" i="4"/>
  <c r="W7" i="4"/>
  <c r="AE7" i="4" s="1"/>
  <c r="AB45" i="4"/>
  <c r="AA45" i="4"/>
  <c r="AM50" i="4"/>
  <c r="AN50" i="4"/>
  <c r="AM45" i="4"/>
  <c r="AN45" i="4"/>
  <c r="AM7" i="4"/>
  <c r="AN7" i="4"/>
  <c r="X46" i="4"/>
  <c r="W46" i="4"/>
  <c r="AE46" i="4" s="1"/>
  <c r="AB56" i="4"/>
  <c r="AA56" i="4"/>
  <c r="AM12" i="4"/>
  <c r="AN12" i="4"/>
  <c r="X45" i="4"/>
  <c r="W45" i="4"/>
  <c r="X48" i="4"/>
  <c r="AF48" i="4" s="1"/>
  <c r="W48" i="4"/>
  <c r="AE48" i="4" s="1"/>
  <c r="AB12" i="4"/>
  <c r="AA12" i="4"/>
  <c r="AB44" i="4"/>
  <c r="AA44" i="4"/>
  <c r="AM48" i="4"/>
  <c r="AN48" i="4"/>
  <c r="AM44" i="4"/>
  <c r="AN44" i="4"/>
  <c r="AF7" i="4"/>
  <c r="AB46" i="4"/>
  <c r="BI52" i="4"/>
  <c r="BU52" i="4" s="1"/>
  <c r="BK52" i="4"/>
  <c r="BM52" i="4" s="1"/>
  <c r="V52" i="4"/>
  <c r="W52" i="4" s="1"/>
  <c r="BK51" i="4"/>
  <c r="BM51" i="4" s="1"/>
  <c r="BI51" i="4"/>
  <c r="BU51" i="4" s="1"/>
  <c r="V51" i="4"/>
  <c r="W51" i="4" s="1"/>
  <c r="AE51" i="4" s="1"/>
  <c r="Z49" i="4"/>
  <c r="AA49" i="4" s="1"/>
  <c r="BI49" i="4"/>
  <c r="BK49" i="4"/>
  <c r="BM49" i="4" s="1"/>
  <c r="Z52" i="4"/>
  <c r="AA52" i="4" s="1"/>
  <c r="AD52" i="4"/>
  <c r="AL52" i="4" s="1"/>
  <c r="Z51" i="4"/>
  <c r="AA51" i="4" s="1"/>
  <c r="AD51" i="4"/>
  <c r="AL51" i="4" s="1"/>
  <c r="V49" i="4"/>
  <c r="W49" i="4" s="1"/>
  <c r="AD49" i="4"/>
  <c r="AL49" i="4" s="1"/>
  <c r="AP45" i="4"/>
  <c r="AP56" i="4"/>
  <c r="AP48" i="4"/>
  <c r="AP44" i="4"/>
  <c r="AP12" i="4"/>
  <c r="AP47" i="4"/>
  <c r="AP43" i="4"/>
  <c r="AP7" i="4"/>
  <c r="AP50" i="4"/>
  <c r="AP46" i="4"/>
  <c r="AE52" i="4" l="1"/>
  <c r="BU49" i="4"/>
  <c r="AF45" i="4"/>
  <c r="AF47" i="4"/>
  <c r="AF50" i="4"/>
  <c r="AE56" i="4"/>
  <c r="AE43" i="4"/>
  <c r="AF46" i="4"/>
  <c r="AF44" i="4"/>
  <c r="AQ44" i="4"/>
  <c r="AR44" i="4"/>
  <c r="AQ43" i="4"/>
  <c r="AR43" i="4"/>
  <c r="AQ48" i="4"/>
  <c r="AR48" i="4"/>
  <c r="AQ50" i="4"/>
  <c r="AR50" i="4"/>
  <c r="AQ12" i="4"/>
  <c r="AR12" i="4"/>
  <c r="AQ45" i="4"/>
  <c r="AR45" i="4"/>
  <c r="AE45" i="4"/>
  <c r="AE12" i="4"/>
  <c r="AE47" i="4"/>
  <c r="AE44" i="4"/>
  <c r="AE50" i="4"/>
  <c r="AM49" i="4"/>
  <c r="AN49" i="4"/>
  <c r="AM52" i="4"/>
  <c r="AN52" i="4"/>
  <c r="AQ7" i="4"/>
  <c r="AR7" i="4"/>
  <c r="AF12" i="4"/>
  <c r="AE49" i="4"/>
  <c r="AQ46" i="4"/>
  <c r="AR46" i="4"/>
  <c r="AQ47" i="4"/>
  <c r="AR47" i="4"/>
  <c r="AQ56" i="4"/>
  <c r="AR56" i="4"/>
  <c r="AM51" i="4"/>
  <c r="AN51" i="4"/>
  <c r="AF56" i="4"/>
  <c r="AF43" i="4"/>
  <c r="X49" i="4"/>
  <c r="AB52" i="4"/>
  <c r="AB49" i="4"/>
  <c r="X52" i="4"/>
  <c r="AB51" i="4"/>
  <c r="X51" i="4"/>
  <c r="AT46" i="4"/>
  <c r="AT43" i="4"/>
  <c r="AT48" i="4"/>
  <c r="AP49" i="4"/>
  <c r="AT7" i="4"/>
  <c r="AT44" i="4"/>
  <c r="AT45" i="4"/>
  <c r="AP52" i="4"/>
  <c r="AT50" i="4"/>
  <c r="AT12" i="4"/>
  <c r="AT56" i="4"/>
  <c r="AP51" i="4"/>
  <c r="AT47" i="4"/>
  <c r="AF49" i="4" l="1"/>
  <c r="AF52" i="4"/>
  <c r="AU47" i="4"/>
  <c r="AY47" i="4" s="1"/>
  <c r="AV47" i="4"/>
  <c r="AZ47" i="4" s="1"/>
  <c r="AU7" i="4"/>
  <c r="AY7" i="4" s="1"/>
  <c r="AV7" i="4"/>
  <c r="AZ7" i="4" s="1"/>
  <c r="AQ52" i="4"/>
  <c r="AR52" i="4"/>
  <c r="AU56" i="4"/>
  <c r="AY56" i="4" s="1"/>
  <c r="AV56" i="4"/>
  <c r="AZ56" i="4" s="1"/>
  <c r="AU45" i="4"/>
  <c r="AY45" i="4" s="1"/>
  <c r="AV45" i="4"/>
  <c r="AZ45" i="4" s="1"/>
  <c r="AU48" i="4"/>
  <c r="AY48" i="4" s="1"/>
  <c r="AV48" i="4"/>
  <c r="AZ48" i="4" s="1"/>
  <c r="AU12" i="4"/>
  <c r="AY12" i="4" s="1"/>
  <c r="AV12" i="4"/>
  <c r="AZ12" i="4" s="1"/>
  <c r="AU44" i="4"/>
  <c r="AY44" i="4" s="1"/>
  <c r="AV44" i="4"/>
  <c r="AZ44" i="4" s="1"/>
  <c r="AU43" i="4"/>
  <c r="AY43" i="4" s="1"/>
  <c r="AV43" i="4"/>
  <c r="AZ43" i="4" s="1"/>
  <c r="AF51" i="4"/>
  <c r="AU50" i="4"/>
  <c r="AY50" i="4" s="1"/>
  <c r="AV50" i="4"/>
  <c r="AZ50" i="4" s="1"/>
  <c r="AQ51" i="4"/>
  <c r="AR51" i="4"/>
  <c r="AQ49" i="4"/>
  <c r="AR49" i="4"/>
  <c r="AU46" i="4"/>
  <c r="AY46" i="4" s="1"/>
  <c r="AV46" i="4"/>
  <c r="AZ46" i="4" s="1"/>
  <c r="BI39" i="4"/>
  <c r="BK39" i="4"/>
  <c r="BM39" i="4" s="1"/>
  <c r="AX56" i="4"/>
  <c r="AX50" i="4"/>
  <c r="Z39" i="4"/>
  <c r="AA39" i="4" s="1"/>
  <c r="AD39" i="4"/>
  <c r="AL39" i="4" s="1"/>
  <c r="V39" i="4"/>
  <c r="W39" i="4" s="1"/>
  <c r="AT51" i="4"/>
  <c r="AX47" i="4"/>
  <c r="AX12" i="4"/>
  <c r="AT52" i="4"/>
  <c r="AX45" i="4"/>
  <c r="AX43" i="4"/>
  <c r="AX46" i="4"/>
  <c r="AX44" i="4"/>
  <c r="AT49" i="4"/>
  <c r="AX7" i="4"/>
  <c r="AX48" i="4"/>
  <c r="S10" i="2"/>
  <c r="U10" i="2"/>
  <c r="S11" i="2"/>
  <c r="U11" i="2"/>
  <c r="S12" i="2"/>
  <c r="U12" i="2"/>
  <c r="S13" i="2"/>
  <c r="U13" i="2"/>
  <c r="S14" i="2"/>
  <c r="U14" i="2"/>
  <c r="S15" i="2"/>
  <c r="U15" i="2"/>
  <c r="S16" i="2"/>
  <c r="U16" i="2"/>
  <c r="S17" i="2"/>
  <c r="U17" i="2"/>
  <c r="S18" i="2"/>
  <c r="U18" i="2"/>
  <c r="S19" i="2"/>
  <c r="U19" i="2"/>
  <c r="BU39" i="4" l="1"/>
  <c r="AU52" i="4"/>
  <c r="AY52" i="4" s="1"/>
  <c r="AV52" i="4"/>
  <c r="AZ52" i="4" s="1"/>
  <c r="AE39" i="4"/>
  <c r="AM39" i="4"/>
  <c r="AN39" i="4"/>
  <c r="AU49" i="4"/>
  <c r="AY49" i="4" s="1"/>
  <c r="AV49" i="4"/>
  <c r="AZ49" i="4" s="1"/>
  <c r="AU51" i="4"/>
  <c r="AY51" i="4" s="1"/>
  <c r="AV51" i="4"/>
  <c r="AZ51" i="4" s="1"/>
  <c r="X39" i="4"/>
  <c r="AB39" i="4"/>
  <c r="AP39" i="4"/>
  <c r="AX51" i="4"/>
  <c r="AX49" i="4"/>
  <c r="AX52" i="4"/>
  <c r="H8" i="3"/>
  <c r="H9" i="3"/>
  <c r="H10" i="3"/>
  <c r="H15" i="3"/>
  <c r="H16" i="3"/>
  <c r="H17" i="3"/>
  <c r="H7" i="3"/>
  <c r="AF39" i="4" l="1"/>
  <c r="AQ39" i="4"/>
  <c r="AR39" i="4"/>
  <c r="AT39" i="4"/>
  <c r="C6" i="66"/>
  <c r="C10" i="66"/>
  <c r="L18" i="66"/>
  <c r="K18" i="66"/>
  <c r="J18" i="66"/>
  <c r="I5" i="66"/>
  <c r="L5" i="66" s="1"/>
  <c r="I6" i="66" s="1"/>
  <c r="L6" i="66" s="1"/>
  <c r="I7" i="66" s="1"/>
  <c r="L7" i="66" s="1"/>
  <c r="I8" i="66" s="1"/>
  <c r="L8" i="66" s="1"/>
  <c r="I9" i="66" s="1"/>
  <c r="L9" i="66" s="1"/>
  <c r="I10" i="66" s="1"/>
  <c r="L10" i="66" s="1"/>
  <c r="I11" i="66" s="1"/>
  <c r="L11" i="66" s="1"/>
  <c r="I12" i="66" s="1"/>
  <c r="L12" i="66" s="1"/>
  <c r="I13" i="66" s="1"/>
  <c r="L13" i="66" s="1"/>
  <c r="I14" i="66" s="1"/>
  <c r="L14" i="66" s="1"/>
  <c r="I15" i="66" s="1"/>
  <c r="L15" i="66" s="1"/>
  <c r="I16" i="66" s="1"/>
  <c r="L16" i="66" s="1"/>
  <c r="C16" i="66" s="1"/>
  <c r="D16" i="66"/>
  <c r="A16" i="66"/>
  <c r="H16" i="66" s="1"/>
  <c r="A15" i="66"/>
  <c r="D15" i="66" s="1"/>
  <c r="A14" i="66"/>
  <c r="D14" i="66" s="1"/>
  <c r="A13" i="66"/>
  <c r="D13" i="66" s="1"/>
  <c r="A12" i="66"/>
  <c r="D12" i="66" s="1"/>
  <c r="A11" i="66"/>
  <c r="D11" i="66" s="1"/>
  <c r="A10" i="66"/>
  <c r="D10" i="66" s="1"/>
  <c r="A9" i="66"/>
  <c r="D9" i="66" s="1"/>
  <c r="A8" i="66"/>
  <c r="H8" i="66" s="1"/>
  <c r="A7" i="66"/>
  <c r="D7" i="66" s="1"/>
  <c r="A6" i="66"/>
  <c r="D6" i="66" s="1"/>
  <c r="E6" i="66" s="1"/>
  <c r="A5" i="66"/>
  <c r="D5" i="66" s="1"/>
  <c r="A4" i="66"/>
  <c r="D16" i="65"/>
  <c r="E16" i="65" s="1"/>
  <c r="D5" i="65"/>
  <c r="E5" i="65" s="1"/>
  <c r="D6" i="65"/>
  <c r="E6" i="65" s="1"/>
  <c r="D7" i="65"/>
  <c r="E7" i="65" s="1"/>
  <c r="D8" i="65"/>
  <c r="E8" i="65" s="1"/>
  <c r="D9" i="65"/>
  <c r="E9" i="65" s="1"/>
  <c r="D10" i="65"/>
  <c r="E10" i="65" s="1"/>
  <c r="D11" i="65"/>
  <c r="E11" i="65" s="1"/>
  <c r="D12" i="65"/>
  <c r="E12" i="65" s="1"/>
  <c r="D13" i="65"/>
  <c r="E13" i="65" s="1"/>
  <c r="D14" i="65"/>
  <c r="E14" i="65" s="1"/>
  <c r="D15" i="65"/>
  <c r="E15" i="65" s="1"/>
  <c r="A4" i="65"/>
  <c r="AU39" i="4" l="1"/>
  <c r="AY39" i="4" s="1"/>
  <c r="AV39" i="4"/>
  <c r="AZ39" i="4" s="1"/>
  <c r="H12" i="66"/>
  <c r="D8" i="66"/>
  <c r="AX39" i="4"/>
  <c r="H14" i="66"/>
  <c r="H10" i="66"/>
  <c r="H6" i="66"/>
  <c r="E16" i="66"/>
  <c r="H5" i="66"/>
  <c r="H13" i="66"/>
  <c r="H9" i="66"/>
  <c r="C14" i="66"/>
  <c r="E14" i="66" s="1"/>
  <c r="E10" i="66"/>
  <c r="H15" i="66"/>
  <c r="H11" i="66"/>
  <c r="H7" i="66"/>
  <c r="C5" i="66"/>
  <c r="E5" i="66" s="1"/>
  <c r="C13" i="66"/>
  <c r="E13" i="66" s="1"/>
  <c r="C9" i="66"/>
  <c r="E9" i="66" s="1"/>
  <c r="C12" i="66"/>
  <c r="E12" i="66" s="1"/>
  <c r="C8" i="66"/>
  <c r="E8" i="66" s="1"/>
  <c r="C15" i="66"/>
  <c r="E15" i="66" s="1"/>
  <c r="C11" i="66"/>
  <c r="E11" i="66" s="1"/>
  <c r="C7" i="66"/>
  <c r="E7" i="66" s="1"/>
  <c r="C106" i="4"/>
  <c r="D106" i="4"/>
  <c r="E106" i="4"/>
  <c r="F106" i="4"/>
  <c r="G106" i="4"/>
  <c r="H106" i="4"/>
  <c r="I106" i="4"/>
  <c r="J106" i="4"/>
  <c r="K106" i="4"/>
  <c r="L106" i="4"/>
  <c r="M106" i="4"/>
  <c r="B106" i="4"/>
  <c r="U9" i="2" l="1"/>
  <c r="S9" i="2"/>
  <c r="U9" i="3" l="1"/>
  <c r="U8" i="2" l="1"/>
  <c r="S8" i="2"/>
  <c r="C19" i="6" l="1"/>
  <c r="N21" i="2" l="1"/>
  <c r="CH78" i="4" l="1"/>
  <c r="CL78" i="4"/>
  <c r="CH79" i="4"/>
  <c r="CL79" i="4"/>
  <c r="CH80" i="4"/>
  <c r="CL80" i="4"/>
  <c r="CH81" i="4"/>
  <c r="CL81" i="4"/>
  <c r="CH82" i="4"/>
  <c r="CL82" i="4"/>
  <c r="CH83" i="4"/>
  <c r="CL83" i="4"/>
  <c r="CH84" i="4"/>
  <c r="CL84" i="4"/>
  <c r="CH85" i="4"/>
  <c r="CL85" i="4"/>
  <c r="CH86" i="4"/>
  <c r="CL86" i="4"/>
  <c r="CH87" i="4"/>
  <c r="CL87" i="4"/>
  <c r="CH91" i="4"/>
  <c r="CL91" i="4"/>
  <c r="CH92" i="4"/>
  <c r="CL92" i="4"/>
  <c r="CH93" i="4"/>
  <c r="CL93" i="4"/>
  <c r="CH94" i="4"/>
  <c r="CL94" i="4"/>
  <c r="CH98" i="4"/>
  <c r="CL98" i="4"/>
  <c r="CH99" i="4"/>
  <c r="CL99" i="4"/>
  <c r="CH100" i="4"/>
  <c r="CL100" i="4"/>
  <c r="CH105" i="4"/>
  <c r="CL105" i="4"/>
  <c r="CD78" i="4"/>
  <c r="CD79" i="4"/>
  <c r="CD80" i="4"/>
  <c r="CD81" i="4"/>
  <c r="CD82" i="4"/>
  <c r="CD83" i="4"/>
  <c r="CD84" i="4"/>
  <c r="CD85" i="4"/>
  <c r="CD86" i="4"/>
  <c r="CD87" i="4"/>
  <c r="CD91" i="4"/>
  <c r="CD92" i="4"/>
  <c r="CD93" i="4"/>
  <c r="CD94" i="4"/>
  <c r="CD98" i="4"/>
  <c r="CD99" i="4"/>
  <c r="CD100" i="4"/>
  <c r="CD105" i="4"/>
  <c r="C87" i="4"/>
  <c r="C105" i="4" s="1"/>
  <c r="D87" i="4"/>
  <c r="D105" i="4" s="1"/>
  <c r="E87" i="4"/>
  <c r="E105" i="4" s="1"/>
  <c r="F87" i="4"/>
  <c r="F105" i="4" s="1"/>
  <c r="G87" i="4"/>
  <c r="G105" i="4" s="1"/>
  <c r="H87" i="4"/>
  <c r="H105" i="4" s="1"/>
  <c r="I87" i="4"/>
  <c r="I105" i="4" s="1"/>
  <c r="J87" i="4"/>
  <c r="K87" i="4"/>
  <c r="L87" i="4"/>
  <c r="M87" i="4"/>
  <c r="CN87" i="4" s="1"/>
  <c r="N99" i="4"/>
  <c r="B87" i="4"/>
  <c r="N85" i="4"/>
  <c r="N86" i="4"/>
  <c r="L105" i="4" l="1"/>
  <c r="CJ105" i="4" s="1"/>
  <c r="CJ87" i="4"/>
  <c r="K105" i="4"/>
  <c r="CF105" i="4" s="1"/>
  <c r="CF87" i="4"/>
  <c r="B105" i="4"/>
  <c r="BQ98" i="4"/>
  <c r="J105" i="4"/>
  <c r="BQ105" i="4" s="1"/>
  <c r="M105" i="4"/>
  <c r="CN105" i="4" s="1"/>
  <c r="BK84" i="4"/>
  <c r="BM84" i="4" s="1"/>
  <c r="BI84" i="4"/>
  <c r="BI104" i="4"/>
  <c r="BI85" i="4"/>
  <c r="BK85" i="4"/>
  <c r="BM85" i="4" s="1"/>
  <c r="BG105" i="4"/>
  <c r="BI105" i="4" s="1"/>
  <c r="BK105" i="4"/>
  <c r="BM105" i="4" s="1"/>
  <c r="BG95" i="4"/>
  <c r="BH95" i="4" s="1"/>
  <c r="BK95" i="4"/>
  <c r="BM95" i="4" s="1"/>
  <c r="BG91" i="4"/>
  <c r="BH91" i="4" s="1"/>
  <c r="BK91" i="4"/>
  <c r="BM91" i="4" s="1"/>
  <c r="BK87" i="4"/>
  <c r="BG87" i="4"/>
  <c r="BK83" i="4"/>
  <c r="BM83" i="4" s="1"/>
  <c r="BI83" i="4"/>
  <c r="BK100" i="4"/>
  <c r="BM100" i="4" s="1"/>
  <c r="BM103" i="4" s="1"/>
  <c r="BG100" i="4"/>
  <c r="BK93" i="4"/>
  <c r="BM93" i="4" s="1"/>
  <c r="BG93" i="4"/>
  <c r="BH93" i="4" s="1"/>
  <c r="BK94" i="4"/>
  <c r="BM94" i="4" s="1"/>
  <c r="BG94" i="4"/>
  <c r="BH94" i="4" s="1"/>
  <c r="BM88" i="4"/>
  <c r="BK86" i="4"/>
  <c r="BM86" i="4" s="1"/>
  <c r="BI98" i="4"/>
  <c r="BM98" i="4"/>
  <c r="BG92" i="4"/>
  <c r="BH92" i="4" s="1"/>
  <c r="BK92" i="4"/>
  <c r="BM92" i="4" s="1"/>
  <c r="Z85" i="4"/>
  <c r="V85" i="4"/>
  <c r="W85" i="4" s="1"/>
  <c r="AD85" i="4"/>
  <c r="AL85" i="4" s="1"/>
  <c r="Z105" i="4"/>
  <c r="AD105" i="4"/>
  <c r="AL105" i="4" s="1"/>
  <c r="Z95" i="4"/>
  <c r="V95" i="4"/>
  <c r="AD95" i="4"/>
  <c r="AL95" i="4" s="1"/>
  <c r="AB91" i="4"/>
  <c r="AL91" i="4"/>
  <c r="V91" i="4"/>
  <c r="Z84" i="4"/>
  <c r="AD84" i="4"/>
  <c r="AL84" i="4" s="1"/>
  <c r="V84" i="4"/>
  <c r="W84" i="4" s="1"/>
  <c r="Z94" i="4"/>
  <c r="AD94" i="4"/>
  <c r="AL94" i="4" s="1"/>
  <c r="V94" i="4"/>
  <c r="W94" i="4" s="1"/>
  <c r="AD87" i="4"/>
  <c r="AL87" i="4" s="1"/>
  <c r="Z87" i="4"/>
  <c r="V87" i="4"/>
  <c r="X87" i="4" s="1"/>
  <c r="AD100" i="4"/>
  <c r="AL100" i="4" s="1"/>
  <c r="Z100" i="4"/>
  <c r="AA100" i="4" s="1"/>
  <c r="AA103" i="4" s="1"/>
  <c r="V100" i="4"/>
  <c r="AD93" i="4"/>
  <c r="AL93" i="4" s="1"/>
  <c r="V93" i="4"/>
  <c r="W93" i="4" s="1"/>
  <c r="Z93" i="4"/>
  <c r="AB104" i="4"/>
  <c r="X104" i="4"/>
  <c r="AD83" i="4"/>
  <c r="AL83" i="4" s="1"/>
  <c r="Z83" i="4"/>
  <c r="V83" i="4"/>
  <c r="AD86" i="4"/>
  <c r="AL86" i="4" s="1"/>
  <c r="Z86" i="4"/>
  <c r="AA86" i="4" s="1"/>
  <c r="V86" i="4"/>
  <c r="AL98" i="4"/>
  <c r="Z98" i="4"/>
  <c r="AB98" i="4" s="1"/>
  <c r="V98" i="4"/>
  <c r="AD92" i="4"/>
  <c r="AL92" i="4" s="1"/>
  <c r="Z92" i="4"/>
  <c r="V92" i="4"/>
  <c r="CD7" i="4"/>
  <c r="CD8" i="4"/>
  <c r="CD9" i="4"/>
  <c r="CD10" i="4"/>
  <c r="CD11" i="4"/>
  <c r="CD12" i="4"/>
  <c r="CD13" i="4"/>
  <c r="CD14" i="4"/>
  <c r="CD15" i="4"/>
  <c r="CD16" i="4"/>
  <c r="CD17" i="4"/>
  <c r="CD18" i="4"/>
  <c r="CD19" i="4"/>
  <c r="CD20" i="4"/>
  <c r="CD21" i="4"/>
  <c r="CD22" i="4"/>
  <c r="CD23" i="4"/>
  <c r="CD24" i="4"/>
  <c r="CD25" i="4"/>
  <c r="CD26" i="4"/>
  <c r="CD27" i="4"/>
  <c r="CD28" i="4"/>
  <c r="CD29" i="4"/>
  <c r="CD30" i="4"/>
  <c r="CD31" i="4"/>
  <c r="CD32" i="4"/>
  <c r="CD33" i="4"/>
  <c r="CD34" i="4"/>
  <c r="CD35" i="4"/>
  <c r="CD36" i="4"/>
  <c r="CD37" i="4"/>
  <c r="CD38" i="4"/>
  <c r="CD39" i="4"/>
  <c r="CD40" i="4"/>
  <c r="CD41" i="4"/>
  <c r="CD42" i="4"/>
  <c r="CD43" i="4"/>
  <c r="CD44" i="4"/>
  <c r="CD45" i="4"/>
  <c r="CD46" i="4"/>
  <c r="CD47" i="4"/>
  <c r="CD48" i="4"/>
  <c r="CD49" i="4"/>
  <c r="CD50" i="4"/>
  <c r="CD51" i="4"/>
  <c r="CD52" i="4"/>
  <c r="CD53" i="4"/>
  <c r="CD54" i="4"/>
  <c r="CD55" i="4"/>
  <c r="CD56" i="4"/>
  <c r="CD57" i="4"/>
  <c r="CD58" i="4"/>
  <c r="CD59" i="4"/>
  <c r="CD60" i="4"/>
  <c r="CD61" i="4"/>
  <c r="CD62" i="4"/>
  <c r="CD63" i="4"/>
  <c r="CD64" i="4"/>
  <c r="CD65" i="4"/>
  <c r="CD66" i="4"/>
  <c r="CD67" i="4"/>
  <c r="CD68" i="4"/>
  <c r="CD69" i="4"/>
  <c r="CD70" i="4"/>
  <c r="CD71" i="4"/>
  <c r="CD72" i="4"/>
  <c r="CD73" i="4"/>
  <c r="CD74" i="4"/>
  <c r="CD75" i="4"/>
  <c r="CD76" i="4"/>
  <c r="CD77" i="4"/>
  <c r="CH7" i="4"/>
  <c r="CH8" i="4"/>
  <c r="CH9" i="4"/>
  <c r="CH10" i="4"/>
  <c r="CH11" i="4"/>
  <c r="CH12" i="4"/>
  <c r="CH13" i="4"/>
  <c r="CH14" i="4"/>
  <c r="CH15" i="4"/>
  <c r="CH16" i="4"/>
  <c r="CH17" i="4"/>
  <c r="CH18" i="4"/>
  <c r="CH19" i="4"/>
  <c r="CH20" i="4"/>
  <c r="CH21" i="4"/>
  <c r="CH22" i="4"/>
  <c r="CH23" i="4"/>
  <c r="CH24" i="4"/>
  <c r="CH25" i="4"/>
  <c r="CH26" i="4"/>
  <c r="CH27" i="4"/>
  <c r="CH28" i="4"/>
  <c r="CH29" i="4"/>
  <c r="CH30" i="4"/>
  <c r="CH31" i="4"/>
  <c r="CH32" i="4"/>
  <c r="CH33" i="4"/>
  <c r="CH34" i="4"/>
  <c r="CH35" i="4"/>
  <c r="CH36" i="4"/>
  <c r="CH37" i="4"/>
  <c r="CH38" i="4"/>
  <c r="CH39" i="4"/>
  <c r="CH40" i="4"/>
  <c r="CH41" i="4"/>
  <c r="CH42" i="4"/>
  <c r="CH43" i="4"/>
  <c r="CH44" i="4"/>
  <c r="CH45" i="4"/>
  <c r="CH46" i="4"/>
  <c r="CH47" i="4"/>
  <c r="CH48" i="4"/>
  <c r="CH49" i="4"/>
  <c r="CH50" i="4"/>
  <c r="CH51" i="4"/>
  <c r="CH52" i="4"/>
  <c r="CH53" i="4"/>
  <c r="CH54" i="4"/>
  <c r="CH55" i="4"/>
  <c r="CH56" i="4"/>
  <c r="CH57" i="4"/>
  <c r="CH58" i="4"/>
  <c r="CH59" i="4"/>
  <c r="CH60" i="4"/>
  <c r="CH61" i="4"/>
  <c r="CH62" i="4"/>
  <c r="CH63" i="4"/>
  <c r="CH64" i="4"/>
  <c r="CH65" i="4"/>
  <c r="CH66" i="4"/>
  <c r="CH67" i="4"/>
  <c r="CH68" i="4"/>
  <c r="CH69" i="4"/>
  <c r="CH70" i="4"/>
  <c r="CH71" i="4"/>
  <c r="CH72" i="4"/>
  <c r="CH73" i="4"/>
  <c r="CH74" i="4"/>
  <c r="CH75" i="4"/>
  <c r="CH76" i="4"/>
  <c r="CH77" i="4"/>
  <c r="CL7" i="4"/>
  <c r="CL8" i="4"/>
  <c r="CL9" i="4"/>
  <c r="CL10" i="4"/>
  <c r="CL11" i="4"/>
  <c r="CL12" i="4"/>
  <c r="CL13" i="4"/>
  <c r="CL14" i="4"/>
  <c r="CL15" i="4"/>
  <c r="CL16" i="4"/>
  <c r="CL17" i="4"/>
  <c r="CL18" i="4"/>
  <c r="CL19" i="4"/>
  <c r="CL20" i="4"/>
  <c r="CL21" i="4"/>
  <c r="CL22" i="4"/>
  <c r="CL23" i="4"/>
  <c r="CL24" i="4"/>
  <c r="CL25" i="4"/>
  <c r="CL26" i="4"/>
  <c r="CL27" i="4"/>
  <c r="CL28" i="4"/>
  <c r="CL29" i="4"/>
  <c r="CL30" i="4"/>
  <c r="CL31" i="4"/>
  <c r="CL32" i="4"/>
  <c r="CL33" i="4"/>
  <c r="CL34" i="4"/>
  <c r="CL35" i="4"/>
  <c r="CL36" i="4"/>
  <c r="CL37" i="4"/>
  <c r="CL38" i="4"/>
  <c r="CL39" i="4"/>
  <c r="CL40" i="4"/>
  <c r="CL41" i="4"/>
  <c r="CL42" i="4"/>
  <c r="CL43" i="4"/>
  <c r="CL44" i="4"/>
  <c r="CL45" i="4"/>
  <c r="CL46" i="4"/>
  <c r="CL47" i="4"/>
  <c r="CL48" i="4"/>
  <c r="CL49" i="4"/>
  <c r="CL50" i="4"/>
  <c r="CL51" i="4"/>
  <c r="CL52" i="4"/>
  <c r="CL53" i="4"/>
  <c r="CL54" i="4"/>
  <c r="CL55" i="4"/>
  <c r="CL56" i="4"/>
  <c r="CL57" i="4"/>
  <c r="CL58" i="4"/>
  <c r="CL59" i="4"/>
  <c r="CL60" i="4"/>
  <c r="CL61" i="4"/>
  <c r="CL62" i="4"/>
  <c r="CL63" i="4"/>
  <c r="CL64" i="4"/>
  <c r="CL65" i="4"/>
  <c r="CL66" i="4"/>
  <c r="CL67" i="4"/>
  <c r="CL68" i="4"/>
  <c r="CL69" i="4"/>
  <c r="CL70" i="4"/>
  <c r="CL71" i="4"/>
  <c r="CL72" i="4"/>
  <c r="CL73" i="4"/>
  <c r="CL74" i="4"/>
  <c r="CL75" i="4"/>
  <c r="CL76" i="4"/>
  <c r="CL77" i="4"/>
  <c r="CL6" i="4"/>
  <c r="CH6" i="4"/>
  <c r="CD6" i="4"/>
  <c r="BO6" i="4"/>
  <c r="BU83" i="4" l="1"/>
  <c r="BU85" i="4"/>
  <c r="BU84" i="4"/>
  <c r="BM96" i="4"/>
  <c r="BH96" i="4"/>
  <c r="BI100" i="4"/>
  <c r="BH100" i="4"/>
  <c r="BH103" i="4" s="1"/>
  <c r="AB92" i="4"/>
  <c r="AA92" i="4"/>
  <c r="X83" i="4"/>
  <c r="W83" i="4"/>
  <c r="W103" i="4"/>
  <c r="AE103" i="4" s="1"/>
  <c r="AE100" i="4"/>
  <c r="AB94" i="4"/>
  <c r="AA94" i="4"/>
  <c r="AE94" i="4" s="1"/>
  <c r="X91" i="4"/>
  <c r="AF91" i="4" s="1"/>
  <c r="W91" i="4"/>
  <c r="X95" i="4"/>
  <c r="W95" i="4"/>
  <c r="AM85" i="4"/>
  <c r="AN85" i="4"/>
  <c r="BI92" i="4"/>
  <c r="BU92" i="4" s="1"/>
  <c r="BI86" i="4"/>
  <c r="BU86" i="4" s="1"/>
  <c r="BI93" i="4"/>
  <c r="AM92" i="4"/>
  <c r="AN92" i="4"/>
  <c r="X86" i="4"/>
  <c r="W86" i="4"/>
  <c r="AE86" i="4" s="1"/>
  <c r="AB83" i="4"/>
  <c r="AA83" i="4"/>
  <c r="AB93" i="4"/>
  <c r="AA93" i="4"/>
  <c r="AE93" i="4" s="1"/>
  <c r="AM91" i="4"/>
  <c r="AN91" i="4"/>
  <c r="AB95" i="4"/>
  <c r="AA95" i="4"/>
  <c r="BI91" i="4"/>
  <c r="AM100" i="4"/>
  <c r="AN100" i="4"/>
  <c r="AM84" i="4"/>
  <c r="AN84" i="4"/>
  <c r="AB85" i="4"/>
  <c r="AA85" i="4"/>
  <c r="AE85" i="4" s="1"/>
  <c r="BI94" i="4"/>
  <c r="AM83" i="4"/>
  <c r="AN83" i="4"/>
  <c r="X92" i="4"/>
  <c r="W92" i="4"/>
  <c r="AM86" i="4"/>
  <c r="AN86" i="4"/>
  <c r="AM93" i="4"/>
  <c r="AN93" i="4"/>
  <c r="AM94" i="4"/>
  <c r="AN94" i="4"/>
  <c r="AB84" i="4"/>
  <c r="AA84" i="4"/>
  <c r="AE84" i="4" s="1"/>
  <c r="AM95" i="4"/>
  <c r="AN95" i="4"/>
  <c r="BI95" i="4"/>
  <c r="X93" i="4"/>
  <c r="X84" i="4"/>
  <c r="AP98" i="4"/>
  <c r="X85" i="4"/>
  <c r="AF85" i="4" s="1"/>
  <c r="X100" i="4"/>
  <c r="X94" i="4"/>
  <c r="AB86" i="4"/>
  <c r="AB100" i="4"/>
  <c r="AB103" i="4" s="1"/>
  <c r="BQ6" i="4"/>
  <c r="BQ87" i="4" s="1"/>
  <c r="BU98" i="4"/>
  <c r="BL92" i="4"/>
  <c r="BT92" i="4" s="1"/>
  <c r="BL95" i="4"/>
  <c r="BL94" i="4"/>
  <c r="BL93" i="4"/>
  <c r="BL91" i="4"/>
  <c r="BU91" i="4"/>
  <c r="BU105" i="4"/>
  <c r="AP83" i="4"/>
  <c r="AP84" i="4"/>
  <c r="AP91" i="4"/>
  <c r="AP85" i="4"/>
  <c r="AP92" i="4"/>
  <c r="AP86" i="4"/>
  <c r="AP87" i="4"/>
  <c r="AP105" i="4"/>
  <c r="AP93" i="4"/>
  <c r="AR88" i="4"/>
  <c r="AR104" i="4"/>
  <c r="AP100" i="4"/>
  <c r="AP94" i="4"/>
  <c r="AP95" i="4"/>
  <c r="N83" i="4"/>
  <c r="N84" i="4"/>
  <c r="AF92" i="4" l="1"/>
  <c r="AE92" i="4"/>
  <c r="AF84" i="4"/>
  <c r="BI103" i="4"/>
  <c r="BU100" i="4"/>
  <c r="AB96" i="4"/>
  <c r="AE95" i="4"/>
  <c r="AE83" i="4"/>
  <c r="AF94" i="4"/>
  <c r="BI96" i="4"/>
  <c r="BU96" i="4" s="1"/>
  <c r="BT91" i="4"/>
  <c r="BL96" i="4"/>
  <c r="AQ86" i="4"/>
  <c r="AR86" i="4"/>
  <c r="AQ84" i="4"/>
  <c r="AR84" i="4"/>
  <c r="AQ94" i="4"/>
  <c r="AR94" i="4"/>
  <c r="AQ93" i="4"/>
  <c r="AR93" i="4"/>
  <c r="AQ92" i="4"/>
  <c r="AR92" i="4"/>
  <c r="AQ83" i="4"/>
  <c r="AR83" i="4"/>
  <c r="AN103" i="4"/>
  <c r="AN96" i="4"/>
  <c r="AF86" i="4"/>
  <c r="AF95" i="4"/>
  <c r="AF83" i="4"/>
  <c r="BP98" i="4"/>
  <c r="AM103" i="4"/>
  <c r="AM96" i="4"/>
  <c r="AE91" i="4"/>
  <c r="W96" i="4"/>
  <c r="AA96" i="4"/>
  <c r="B9" i="9" s="1"/>
  <c r="AQ95" i="4"/>
  <c r="AR95" i="4"/>
  <c r="AQ100" i="4"/>
  <c r="AQ103" i="4" s="1"/>
  <c r="AR100" i="4"/>
  <c r="AR103" i="4" s="1"/>
  <c r="AQ85" i="4"/>
  <c r="AR85" i="4"/>
  <c r="AQ91" i="4"/>
  <c r="AR91" i="4"/>
  <c r="X103" i="4"/>
  <c r="AF103" i="4" s="1"/>
  <c r="AF100" i="4"/>
  <c r="X96" i="4"/>
  <c r="AF93" i="4"/>
  <c r="AT98" i="4"/>
  <c r="BU95" i="4"/>
  <c r="BT103" i="4"/>
  <c r="BU94" i="4"/>
  <c r="BU93" i="4"/>
  <c r="BT95" i="4"/>
  <c r="BU103" i="4"/>
  <c r="BT94" i="4"/>
  <c r="AT85" i="4"/>
  <c r="AT94" i="4"/>
  <c r="AT100" i="4"/>
  <c r="AT86" i="4"/>
  <c r="AT92" i="4"/>
  <c r="AT91" i="4"/>
  <c r="AT84" i="4"/>
  <c r="AT87" i="4"/>
  <c r="AT95" i="4"/>
  <c r="AT93" i="4"/>
  <c r="AT105" i="4"/>
  <c r="AV104" i="4"/>
  <c r="AV88" i="4"/>
  <c r="AK109" i="4"/>
  <c r="AT83" i="4"/>
  <c r="AQ96" i="4" l="1"/>
  <c r="B11" i="9" s="1"/>
  <c r="AR96" i="4"/>
  <c r="AU86" i="4"/>
  <c r="AY86" i="4" s="1"/>
  <c r="AV86" i="4"/>
  <c r="AZ86" i="4" s="1"/>
  <c r="B8" i="9"/>
  <c r="AE96" i="4"/>
  <c r="B10" i="9"/>
  <c r="AU83" i="4"/>
  <c r="AY83" i="4" s="1"/>
  <c r="AV83" i="4"/>
  <c r="AZ83" i="4" s="1"/>
  <c r="AU84" i="4"/>
  <c r="AY84" i="4" s="1"/>
  <c r="AV84" i="4"/>
  <c r="AZ84" i="4" s="1"/>
  <c r="AU91" i="4"/>
  <c r="AV91" i="4"/>
  <c r="X105" i="4"/>
  <c r="AF96" i="4"/>
  <c r="AU100" i="4"/>
  <c r="AU103" i="4" s="1"/>
  <c r="AY103" i="4" s="1"/>
  <c r="AV100" i="4"/>
  <c r="AV103" i="4" s="1"/>
  <c r="AZ103" i="4" s="1"/>
  <c r="AU93" i="4"/>
  <c r="AY93" i="4" s="1"/>
  <c r="AV93" i="4"/>
  <c r="AZ93" i="4" s="1"/>
  <c r="AU94" i="4"/>
  <c r="AY94" i="4" s="1"/>
  <c r="AV94" i="4"/>
  <c r="AZ94" i="4" s="1"/>
  <c r="AU95" i="4"/>
  <c r="AY95" i="4" s="1"/>
  <c r="AV95" i="4"/>
  <c r="AZ95" i="4" s="1"/>
  <c r="AU92" i="4"/>
  <c r="AY92" i="4" s="1"/>
  <c r="AV92" i="4"/>
  <c r="AZ92" i="4" s="1"/>
  <c r="AU85" i="4"/>
  <c r="AY85" i="4" s="1"/>
  <c r="AV85" i="4"/>
  <c r="AZ85" i="4" s="1"/>
  <c r="AY100" i="4"/>
  <c r="AZ100" i="4"/>
  <c r="AX91" i="4"/>
  <c r="AX98" i="4"/>
  <c r="AX83" i="4"/>
  <c r="AX93" i="4"/>
  <c r="AX87" i="4"/>
  <c r="AX100" i="4"/>
  <c r="AX85" i="4"/>
  <c r="AK110" i="4"/>
  <c r="AX105" i="4"/>
  <c r="AX92" i="4"/>
  <c r="AX84" i="4"/>
  <c r="AX86" i="4"/>
  <c r="AX95" i="4"/>
  <c r="AX94" i="4"/>
  <c r="I9" i="7"/>
  <c r="I10" i="7"/>
  <c r="I11" i="7"/>
  <c r="I12" i="7"/>
  <c r="I13" i="7"/>
  <c r="I14" i="7"/>
  <c r="I15" i="7"/>
  <c r="I16" i="7"/>
  <c r="I17" i="7"/>
  <c r="I18" i="7"/>
  <c r="I19" i="7"/>
  <c r="I8" i="7"/>
  <c r="N7" i="3"/>
  <c r="N15" i="4"/>
  <c r="N16" i="4"/>
  <c r="N17" i="4"/>
  <c r="N18" i="4"/>
  <c r="N19" i="4"/>
  <c r="N2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N57" i="4"/>
  <c r="N58" i="4"/>
  <c r="N59" i="4"/>
  <c r="N60" i="4"/>
  <c r="N61" i="4"/>
  <c r="N62" i="4"/>
  <c r="N63" i="4"/>
  <c r="N64" i="4"/>
  <c r="N65" i="4"/>
  <c r="N66" i="4"/>
  <c r="N67" i="4"/>
  <c r="N68" i="4"/>
  <c r="N69" i="4"/>
  <c r="N70" i="4"/>
  <c r="N71" i="4"/>
  <c r="N72" i="4"/>
  <c r="N73" i="4"/>
  <c r="N74" i="4"/>
  <c r="N75" i="4"/>
  <c r="N76" i="4"/>
  <c r="N77" i="4"/>
  <c r="N78" i="4"/>
  <c r="N79" i="4"/>
  <c r="N80" i="4"/>
  <c r="N81" i="4"/>
  <c r="N82" i="4"/>
  <c r="N7" i="4"/>
  <c r="N8" i="4"/>
  <c r="N9" i="4"/>
  <c r="N10" i="4"/>
  <c r="N11" i="4"/>
  <c r="N12" i="4"/>
  <c r="N13" i="4"/>
  <c r="N14" i="4"/>
  <c r="N6" i="4"/>
  <c r="AV96" i="4" l="1"/>
  <c r="AZ96" i="4" s="1"/>
  <c r="BF103" i="4"/>
  <c r="AU96" i="4"/>
  <c r="AZ91" i="4"/>
  <c r="AY91" i="4"/>
  <c r="B111" i="4"/>
  <c r="N87" i="4"/>
  <c r="K111" i="4"/>
  <c r="K112" i="4" s="1"/>
  <c r="C111" i="4"/>
  <c r="C112" i="4" s="1"/>
  <c r="J111" i="4"/>
  <c r="J112" i="4" s="1"/>
  <c r="M111" i="4"/>
  <c r="M112" i="4" s="1"/>
  <c r="I111" i="4"/>
  <c r="I112" i="4" s="1"/>
  <c r="L111" i="4"/>
  <c r="L112" i="4" s="1"/>
  <c r="H111" i="4"/>
  <c r="H112" i="4" s="1"/>
  <c r="D111" i="4"/>
  <c r="D112" i="4" s="1"/>
  <c r="N103" i="4"/>
  <c r="B12" i="9" l="1"/>
  <c r="AY96" i="4"/>
  <c r="BF96" i="4" s="1"/>
  <c r="B112" i="4"/>
  <c r="N105" i="4"/>
  <c r="G111" i="4"/>
  <c r="G112" i="4" s="1"/>
  <c r="E111" i="4"/>
  <c r="E112" i="4" s="1"/>
  <c r="F111" i="4"/>
  <c r="F112" i="4" s="1"/>
  <c r="H107" i="4"/>
  <c r="D107" i="4"/>
  <c r="L107" i="4"/>
  <c r="E107" i="4"/>
  <c r="G107" i="4"/>
  <c r="I107" i="4"/>
  <c r="F107" i="4"/>
  <c r="K107" i="4"/>
  <c r="B107" i="4"/>
  <c r="M107" i="4"/>
  <c r="J107" i="4"/>
  <c r="C107" i="4"/>
  <c r="F15" i="2"/>
  <c r="B15" i="2" s="1"/>
  <c r="F16" i="2"/>
  <c r="F17" i="2"/>
  <c r="B24" i="2" l="1"/>
  <c r="B23" i="2"/>
  <c r="N111" i="4"/>
  <c r="D9" i="1"/>
  <c r="D10" i="1"/>
  <c r="D11" i="1"/>
  <c r="D12" i="1"/>
  <c r="D13" i="1"/>
  <c r="D14" i="1"/>
  <c r="D15" i="1"/>
  <c r="D16" i="1"/>
  <c r="D17" i="1"/>
  <c r="D18" i="1"/>
  <c r="D19" i="1"/>
  <c r="D8" i="1"/>
  <c r="L45" i="3" l="1"/>
  <c r="L46" i="3"/>
  <c r="L44" i="3"/>
  <c r="F14" i="2" l="1"/>
  <c r="F11" i="2" l="1"/>
  <c r="F12" i="2"/>
  <c r="F13" i="2"/>
  <c r="BK16" i="4" l="1"/>
  <c r="BM16" i="4" s="1"/>
  <c r="BI16" i="4"/>
  <c r="V16" i="4"/>
  <c r="Z16" i="4"/>
  <c r="AA16" i="4" s="1"/>
  <c r="AD16" i="4"/>
  <c r="AL16" i="4" s="1"/>
  <c r="BU16" i="4" l="1"/>
  <c r="X16" i="4"/>
  <c r="W16" i="4"/>
  <c r="AE16" i="4" s="1"/>
  <c r="AM16" i="4"/>
  <c r="AN16" i="4"/>
  <c r="AB16" i="4"/>
  <c r="AP16" i="4"/>
  <c r="C11" i="10"/>
  <c r="E11" i="10" s="1"/>
  <c r="F11" i="10" s="1"/>
  <c r="C12" i="10"/>
  <c r="E12" i="10" s="1"/>
  <c r="F12" i="10" s="1"/>
  <c r="C13" i="10"/>
  <c r="E13" i="10" s="1"/>
  <c r="F13" i="10" s="1"/>
  <c r="C14" i="10"/>
  <c r="E14" i="10" s="1"/>
  <c r="F14" i="10" s="1"/>
  <c r="C15" i="10"/>
  <c r="E15" i="10" s="1"/>
  <c r="F15" i="10" s="1"/>
  <c r="C16" i="10"/>
  <c r="E16" i="10" s="1"/>
  <c r="F16" i="10" s="1"/>
  <c r="C17" i="10"/>
  <c r="E17" i="10" s="1"/>
  <c r="F17" i="10" s="1"/>
  <c r="C18" i="10"/>
  <c r="E18" i="10" s="1"/>
  <c r="F18" i="10" s="1"/>
  <c r="C19" i="10"/>
  <c r="E19" i="10" s="1"/>
  <c r="F19" i="10" s="1"/>
  <c r="K8" i="7"/>
  <c r="K9" i="7"/>
  <c r="K10" i="7"/>
  <c r="P19" i="3"/>
  <c r="O19" i="3"/>
  <c r="G8" i="1"/>
  <c r="G9" i="1" s="1"/>
  <c r="G10" i="1" s="1"/>
  <c r="G11" i="1" s="1"/>
  <c r="G12" i="1" s="1"/>
  <c r="G13" i="1" s="1"/>
  <c r="G14" i="1" s="1"/>
  <c r="G15" i="1" s="1"/>
  <c r="G16" i="1" s="1"/>
  <c r="G17" i="1" s="1"/>
  <c r="G18" i="1" s="1"/>
  <c r="G19" i="1" s="1"/>
  <c r="C20" i="1"/>
  <c r="AF16" i="4" l="1"/>
  <c r="AQ16" i="4"/>
  <c r="AR16" i="4"/>
  <c r="BI78" i="4"/>
  <c r="BK78" i="4"/>
  <c r="BM78" i="4" s="1"/>
  <c r="BI74" i="4"/>
  <c r="BK74" i="4"/>
  <c r="BM74" i="4" s="1"/>
  <c r="BI62" i="4"/>
  <c r="BK62" i="4"/>
  <c r="BM62" i="4" s="1"/>
  <c r="BK59" i="4"/>
  <c r="BM59" i="4" s="1"/>
  <c r="BI59" i="4"/>
  <c r="BU59" i="4" s="1"/>
  <c r="BK29" i="4"/>
  <c r="BM29" i="4" s="1"/>
  <c r="BI29" i="4"/>
  <c r="BK18" i="4"/>
  <c r="BM18" i="4" s="1"/>
  <c r="BI18" i="4"/>
  <c r="BU18" i="4" s="1"/>
  <c r="BI77" i="4"/>
  <c r="BK77" i="4"/>
  <c r="BM77" i="4" s="1"/>
  <c r="BI73" i="4"/>
  <c r="BK73" i="4"/>
  <c r="BM73" i="4" s="1"/>
  <c r="BI61" i="4"/>
  <c r="BK61" i="4"/>
  <c r="BM61" i="4" s="1"/>
  <c r="BK76" i="4"/>
  <c r="BM76" i="4" s="1"/>
  <c r="BI76" i="4"/>
  <c r="BU76" i="4" s="1"/>
  <c r="BK72" i="4"/>
  <c r="BM72" i="4" s="1"/>
  <c r="BI72" i="4"/>
  <c r="BK64" i="4"/>
  <c r="BM64" i="4" s="1"/>
  <c r="BI64" i="4"/>
  <c r="BU64" i="4" s="1"/>
  <c r="BK60" i="4"/>
  <c r="BM60" i="4" s="1"/>
  <c r="BI60" i="4"/>
  <c r="BK58" i="4"/>
  <c r="BM58" i="4" s="1"/>
  <c r="BI58" i="4"/>
  <c r="BU58" i="4" s="1"/>
  <c r="BI40" i="4"/>
  <c r="BK40" i="4"/>
  <c r="BM40" i="4" s="1"/>
  <c r="BI27" i="4"/>
  <c r="BK27" i="4"/>
  <c r="BM27" i="4" s="1"/>
  <c r="BK79" i="4"/>
  <c r="BM79" i="4" s="1"/>
  <c r="BI79" i="4"/>
  <c r="BK75" i="4"/>
  <c r="BM75" i="4" s="1"/>
  <c r="BI75" i="4"/>
  <c r="BU75" i="4" s="1"/>
  <c r="BK71" i="4"/>
  <c r="BM71" i="4" s="1"/>
  <c r="BI71" i="4"/>
  <c r="BK67" i="4"/>
  <c r="BM67" i="4" s="1"/>
  <c r="BI67" i="4"/>
  <c r="BU67" i="4" s="1"/>
  <c r="BK63" i="4"/>
  <c r="BM63" i="4" s="1"/>
  <c r="BI63" i="4"/>
  <c r="BI57" i="4"/>
  <c r="BK57" i="4"/>
  <c r="BM57" i="4" s="1"/>
  <c r="BK54" i="4"/>
  <c r="BM54" i="4" s="1"/>
  <c r="BI54" i="4"/>
  <c r="BK42" i="4"/>
  <c r="BM42" i="4" s="1"/>
  <c r="BI42" i="4"/>
  <c r="BU42" i="4" s="1"/>
  <c r="BK38" i="4"/>
  <c r="BM38" i="4" s="1"/>
  <c r="BI38" i="4"/>
  <c r="BI34" i="4"/>
  <c r="BK34" i="4"/>
  <c r="BM34" i="4" s="1"/>
  <c r="BK30" i="4"/>
  <c r="BM30" i="4" s="1"/>
  <c r="BI30" i="4"/>
  <c r="BK26" i="4"/>
  <c r="BM26" i="4" s="1"/>
  <c r="BI26" i="4"/>
  <c r="BU26" i="4" s="1"/>
  <c r="BK22" i="4"/>
  <c r="BM22" i="4" s="1"/>
  <c r="BI22" i="4"/>
  <c r="BK14" i="4"/>
  <c r="BM14" i="4" s="1"/>
  <c r="BI14" i="4"/>
  <c r="BU14" i="4" s="1"/>
  <c r="BK9" i="4"/>
  <c r="BM9" i="4" s="1"/>
  <c r="BG9" i="4"/>
  <c r="BI66" i="4"/>
  <c r="BK66" i="4"/>
  <c r="BM66" i="4" s="1"/>
  <c r="BK33" i="4"/>
  <c r="BM33" i="4" s="1"/>
  <c r="BI33" i="4"/>
  <c r="BK21" i="4"/>
  <c r="BM21" i="4" s="1"/>
  <c r="BI21" i="4"/>
  <c r="BU21" i="4" s="1"/>
  <c r="BK8" i="4"/>
  <c r="BG8" i="4"/>
  <c r="BI65" i="4"/>
  <c r="BK65" i="4"/>
  <c r="BM65" i="4" s="1"/>
  <c r="BK55" i="4"/>
  <c r="BM55" i="4" s="1"/>
  <c r="BI55" i="4"/>
  <c r="BI53" i="4"/>
  <c r="BK53" i="4"/>
  <c r="BM53" i="4" s="1"/>
  <c r="BK41" i="4"/>
  <c r="BM41" i="4" s="1"/>
  <c r="BI41" i="4"/>
  <c r="BI36" i="4"/>
  <c r="BK36" i="4"/>
  <c r="BM36" i="4" s="1"/>
  <c r="BK32" i="4"/>
  <c r="BM32" i="4" s="1"/>
  <c r="BI32" i="4"/>
  <c r="BK28" i="4"/>
  <c r="BM28" i="4" s="1"/>
  <c r="BI28" i="4"/>
  <c r="BU28" i="4" s="1"/>
  <c r="BK24" i="4"/>
  <c r="BM24" i="4" s="1"/>
  <c r="BI24" i="4"/>
  <c r="BK20" i="4"/>
  <c r="BM20" i="4" s="1"/>
  <c r="BI20" i="4"/>
  <c r="BU20" i="4" s="1"/>
  <c r="BK17" i="4"/>
  <c r="BM17" i="4" s="1"/>
  <c r="BI17" i="4"/>
  <c r="BI82" i="4"/>
  <c r="BK82" i="4"/>
  <c r="BM82" i="4" s="1"/>
  <c r="BI70" i="4"/>
  <c r="BK70" i="4"/>
  <c r="BM70" i="4" s="1"/>
  <c r="BK37" i="4"/>
  <c r="BM37" i="4" s="1"/>
  <c r="BI37" i="4"/>
  <c r="BU37" i="4" s="1"/>
  <c r="BK25" i="4"/>
  <c r="BM25" i="4" s="1"/>
  <c r="BI25" i="4"/>
  <c r="BK13" i="4"/>
  <c r="BM13" i="4" s="1"/>
  <c r="BI13" i="4"/>
  <c r="BU13" i="4" s="1"/>
  <c r="BI81" i="4"/>
  <c r="BK81" i="4"/>
  <c r="BM81" i="4" s="1"/>
  <c r="BI69" i="4"/>
  <c r="BK69" i="4"/>
  <c r="BM69" i="4" s="1"/>
  <c r="BK80" i="4"/>
  <c r="BM80" i="4" s="1"/>
  <c r="BI80" i="4"/>
  <c r="BK68" i="4"/>
  <c r="BM68" i="4" s="1"/>
  <c r="BI68" i="4"/>
  <c r="BU68" i="4" s="1"/>
  <c r="BI35" i="4"/>
  <c r="BK35" i="4"/>
  <c r="BM35" i="4" s="1"/>
  <c r="BI31" i="4"/>
  <c r="BK31" i="4"/>
  <c r="BM31" i="4" s="1"/>
  <c r="BI23" i="4"/>
  <c r="BK23" i="4"/>
  <c r="BM23" i="4" s="1"/>
  <c r="BI19" i="4"/>
  <c r="BK19" i="4"/>
  <c r="BM19" i="4" s="1"/>
  <c r="BI15" i="4"/>
  <c r="BK15" i="4"/>
  <c r="BM15" i="4" s="1"/>
  <c r="BK10" i="4"/>
  <c r="BM10" i="4" s="1"/>
  <c r="Z80" i="4"/>
  <c r="AD80" i="4"/>
  <c r="AL80" i="4" s="1"/>
  <c r="V80" i="4"/>
  <c r="AD10" i="4"/>
  <c r="AL10" i="4" s="1"/>
  <c r="Z10" i="4"/>
  <c r="V10" i="4"/>
  <c r="Z69" i="4"/>
  <c r="V69" i="4"/>
  <c r="AD69" i="4"/>
  <c r="AL69" i="4" s="1"/>
  <c r="AD67" i="4"/>
  <c r="AL67" i="4" s="1"/>
  <c r="Z67" i="4"/>
  <c r="V67" i="4"/>
  <c r="Z65" i="4"/>
  <c r="V65" i="4"/>
  <c r="AD65" i="4"/>
  <c r="AL65" i="4" s="1"/>
  <c r="Z55" i="4"/>
  <c r="AD55" i="4"/>
  <c r="AL55" i="4" s="1"/>
  <c r="V55" i="4"/>
  <c r="Z53" i="4"/>
  <c r="V53" i="4"/>
  <c r="AD53" i="4"/>
  <c r="AL53" i="4" s="1"/>
  <c r="AD38" i="4"/>
  <c r="AL38" i="4" s="1"/>
  <c r="Z38" i="4"/>
  <c r="V38" i="4"/>
  <c r="Z36" i="4"/>
  <c r="AD36" i="4"/>
  <c r="AL36" i="4" s="1"/>
  <c r="V36" i="4"/>
  <c r="AD34" i="4"/>
  <c r="AL34" i="4" s="1"/>
  <c r="Z34" i="4"/>
  <c r="V34" i="4"/>
  <c r="Z32" i="4"/>
  <c r="AD32" i="4"/>
  <c r="AL32" i="4" s="1"/>
  <c r="V32" i="4"/>
  <c r="AD30" i="4"/>
  <c r="AL30" i="4" s="1"/>
  <c r="V30" i="4"/>
  <c r="Z30" i="4"/>
  <c r="V28" i="4"/>
  <c r="Z28" i="4"/>
  <c r="AD28" i="4"/>
  <c r="AL28" i="4" s="1"/>
  <c r="AD26" i="4"/>
  <c r="AL26" i="4" s="1"/>
  <c r="Z26" i="4"/>
  <c r="V26" i="4"/>
  <c r="V24" i="4"/>
  <c r="Z24" i="4"/>
  <c r="AD24" i="4"/>
  <c r="AL24" i="4" s="1"/>
  <c r="AD22" i="4"/>
  <c r="AL22" i="4" s="1"/>
  <c r="Z22" i="4"/>
  <c r="V22" i="4"/>
  <c r="V20" i="4"/>
  <c r="Z20" i="4"/>
  <c r="AD20" i="4"/>
  <c r="AL20" i="4" s="1"/>
  <c r="AD18" i="4"/>
  <c r="AL18" i="4" s="1"/>
  <c r="V18" i="4"/>
  <c r="Z18" i="4"/>
  <c r="Z15" i="4"/>
  <c r="AD15" i="4"/>
  <c r="AL15" i="4" s="1"/>
  <c r="V15" i="4"/>
  <c r="AD82" i="4"/>
  <c r="AL82" i="4" s="1"/>
  <c r="Z82" i="4"/>
  <c r="V82" i="4"/>
  <c r="Z76" i="4"/>
  <c r="AD76" i="4"/>
  <c r="AL76" i="4" s="1"/>
  <c r="V76" i="4"/>
  <c r="AD74" i="4"/>
  <c r="AL74" i="4" s="1"/>
  <c r="Z74" i="4"/>
  <c r="V74" i="4"/>
  <c r="AD70" i="4"/>
  <c r="AL70" i="4" s="1"/>
  <c r="Z70" i="4"/>
  <c r="V70" i="4"/>
  <c r="AD63" i="4"/>
  <c r="AL63" i="4" s="1"/>
  <c r="V63" i="4"/>
  <c r="Z63" i="4"/>
  <c r="Z61" i="4"/>
  <c r="V61" i="4"/>
  <c r="AD61" i="4"/>
  <c r="AL61" i="4" s="1"/>
  <c r="Z59" i="4"/>
  <c r="AD59" i="4"/>
  <c r="AL59" i="4" s="1"/>
  <c r="V59" i="4"/>
  <c r="Z41" i="4"/>
  <c r="V41" i="4"/>
  <c r="AD41" i="4"/>
  <c r="AL41" i="4" s="1"/>
  <c r="Z13" i="4"/>
  <c r="V13" i="4"/>
  <c r="AD13" i="4"/>
  <c r="AL13" i="4" s="1"/>
  <c r="Z81" i="4"/>
  <c r="V81" i="4"/>
  <c r="AD81" i="4"/>
  <c r="AL81" i="4" s="1"/>
  <c r="AD79" i="4"/>
  <c r="AL79" i="4" s="1"/>
  <c r="V79" i="4"/>
  <c r="Z79" i="4"/>
  <c r="Z77" i="4"/>
  <c r="V77" i="4"/>
  <c r="AD77" i="4"/>
  <c r="AL77" i="4" s="1"/>
  <c r="AD75" i="4"/>
  <c r="AL75" i="4" s="1"/>
  <c r="Z75" i="4"/>
  <c r="V75" i="4"/>
  <c r="Z73" i="4"/>
  <c r="AD73" i="4"/>
  <c r="AL73" i="4" s="1"/>
  <c r="V73" i="4"/>
  <c r="AD71" i="4"/>
  <c r="AL71" i="4" s="1"/>
  <c r="V71" i="4"/>
  <c r="Z71" i="4"/>
  <c r="AD62" i="4"/>
  <c r="AL62" i="4" s="1"/>
  <c r="V62" i="4"/>
  <c r="Z62" i="4"/>
  <c r="AA62" i="4" s="1"/>
  <c r="Z60" i="4"/>
  <c r="AD60" i="4"/>
  <c r="AL60" i="4" s="1"/>
  <c r="V60" i="4"/>
  <c r="AD58" i="4"/>
  <c r="AL58" i="4" s="1"/>
  <c r="Z58" i="4"/>
  <c r="V58" i="4"/>
  <c r="AD42" i="4"/>
  <c r="AL42" i="4" s="1"/>
  <c r="V42" i="4"/>
  <c r="Z42" i="4"/>
  <c r="Z40" i="4"/>
  <c r="AD40" i="4"/>
  <c r="AL40" i="4" s="1"/>
  <c r="V40" i="4"/>
  <c r="AD14" i="4"/>
  <c r="AL14" i="4" s="1"/>
  <c r="V14" i="4"/>
  <c r="Z14" i="4"/>
  <c r="Z11" i="4"/>
  <c r="AD11" i="4"/>
  <c r="AL11" i="4" s="1"/>
  <c r="V11" i="4"/>
  <c r="Z9" i="4"/>
  <c r="AD9" i="4"/>
  <c r="AL9" i="4" s="1"/>
  <c r="V9" i="4"/>
  <c r="AT16" i="4"/>
  <c r="AD78" i="4"/>
  <c r="AL78" i="4" s="1"/>
  <c r="Z78" i="4"/>
  <c r="V78" i="4"/>
  <c r="Z72" i="4"/>
  <c r="AD72" i="4"/>
  <c r="AL72" i="4" s="1"/>
  <c r="V72" i="4"/>
  <c r="Z68" i="4"/>
  <c r="AD68" i="4"/>
  <c r="AL68" i="4" s="1"/>
  <c r="V68" i="4"/>
  <c r="AD66" i="4"/>
  <c r="AL66" i="4" s="1"/>
  <c r="Z66" i="4"/>
  <c r="V66" i="4"/>
  <c r="Z64" i="4"/>
  <c r="AD64" i="4"/>
  <c r="AL64" i="4" s="1"/>
  <c r="V64" i="4"/>
  <c r="Z57" i="4"/>
  <c r="AD57" i="4"/>
  <c r="AL57" i="4" s="1"/>
  <c r="V57" i="4"/>
  <c r="AD54" i="4"/>
  <c r="AL54" i="4" s="1"/>
  <c r="V54" i="4"/>
  <c r="Z54" i="4"/>
  <c r="Z37" i="4"/>
  <c r="AD37" i="4"/>
  <c r="AL37" i="4" s="1"/>
  <c r="V37" i="4"/>
  <c r="Z35" i="4"/>
  <c r="AD35" i="4"/>
  <c r="AL35" i="4" s="1"/>
  <c r="V35" i="4"/>
  <c r="Z33" i="4"/>
  <c r="V33" i="4"/>
  <c r="AD33" i="4"/>
  <c r="AL33" i="4" s="1"/>
  <c r="Z31" i="4"/>
  <c r="AD31" i="4"/>
  <c r="AL31" i="4" s="1"/>
  <c r="V31" i="4"/>
  <c r="Z29" i="4"/>
  <c r="V29" i="4"/>
  <c r="AD29" i="4"/>
  <c r="AL29" i="4" s="1"/>
  <c r="Z27" i="4"/>
  <c r="AD27" i="4"/>
  <c r="AL27" i="4" s="1"/>
  <c r="V27" i="4"/>
  <c r="Z25" i="4"/>
  <c r="AD25" i="4"/>
  <c r="AL25" i="4" s="1"/>
  <c r="V25" i="4"/>
  <c r="Z23" i="4"/>
  <c r="AD23" i="4"/>
  <c r="AL23" i="4" s="1"/>
  <c r="V23" i="4"/>
  <c r="Z21" i="4"/>
  <c r="AD21" i="4"/>
  <c r="AL21" i="4" s="1"/>
  <c r="V21" i="4"/>
  <c r="Z19" i="4"/>
  <c r="AD19" i="4"/>
  <c r="AL19" i="4" s="1"/>
  <c r="V19" i="4"/>
  <c r="Z17" i="4"/>
  <c r="V17" i="4"/>
  <c r="AD17" i="4"/>
  <c r="AL17" i="4" s="1"/>
  <c r="V8" i="4"/>
  <c r="Z8" i="4"/>
  <c r="AD8" i="4"/>
  <c r="AL8" i="4" s="1"/>
  <c r="L16" i="10"/>
  <c r="L19" i="10"/>
  <c r="L15" i="10"/>
  <c r="L18" i="10"/>
  <c r="L14" i="10"/>
  <c r="L17" i="10"/>
  <c r="L12" i="10"/>
  <c r="L11" i="10"/>
  <c r="L13" i="10"/>
  <c r="C10" i="10"/>
  <c r="C9" i="10"/>
  <c r="C8" i="10"/>
  <c r="BU80" i="4" l="1"/>
  <c r="BU25" i="4"/>
  <c r="BU17" i="4"/>
  <c r="BU24" i="4"/>
  <c r="BU32" i="4"/>
  <c r="BU41" i="4"/>
  <c r="BU55" i="4"/>
  <c r="BU33" i="4"/>
  <c r="BU22" i="4"/>
  <c r="BU30" i="4"/>
  <c r="BU38" i="4"/>
  <c r="BU54" i="4"/>
  <c r="BU63" i="4"/>
  <c r="BU71" i="4"/>
  <c r="BU79" i="4"/>
  <c r="BU60" i="4"/>
  <c r="BU72" i="4"/>
  <c r="BU29" i="4"/>
  <c r="BU15" i="4"/>
  <c r="BU23" i="4"/>
  <c r="BU35" i="4"/>
  <c r="BU81" i="4"/>
  <c r="BU70" i="4"/>
  <c r="BU40" i="4"/>
  <c r="BU61" i="4"/>
  <c r="BU77" i="4"/>
  <c r="BU62" i="4"/>
  <c r="BU78" i="4"/>
  <c r="BU19" i="4"/>
  <c r="BU31" i="4"/>
  <c r="BU69" i="4"/>
  <c r="BU82" i="4"/>
  <c r="BU36" i="4"/>
  <c r="BU53" i="4"/>
  <c r="BU65" i="4"/>
  <c r="BU66" i="4"/>
  <c r="BU34" i="4"/>
  <c r="BU57" i="4"/>
  <c r="BU27" i="4"/>
  <c r="BU73" i="4"/>
  <c r="BU74" i="4"/>
  <c r="BI8" i="4"/>
  <c r="BH8" i="4"/>
  <c r="BI9" i="4"/>
  <c r="BU9" i="4" s="1"/>
  <c r="BH9" i="4"/>
  <c r="BI10" i="4"/>
  <c r="BU10" i="4" s="1"/>
  <c r="BH10" i="4"/>
  <c r="AM17" i="4"/>
  <c r="AN17" i="4"/>
  <c r="AM27" i="4"/>
  <c r="AN27" i="4"/>
  <c r="AB8" i="4"/>
  <c r="AA8" i="4"/>
  <c r="AB17" i="4"/>
  <c r="AA17" i="4"/>
  <c r="X21" i="4"/>
  <c r="W21" i="4"/>
  <c r="AB25" i="4"/>
  <c r="AA25" i="4"/>
  <c r="AM29" i="4"/>
  <c r="AN29" i="4"/>
  <c r="AB33" i="4"/>
  <c r="AA33" i="4"/>
  <c r="X37" i="4"/>
  <c r="W37" i="4"/>
  <c r="AB57" i="4"/>
  <c r="AA57" i="4"/>
  <c r="X66" i="4"/>
  <c r="W66" i="4"/>
  <c r="AB72" i="4"/>
  <c r="AA72" i="4"/>
  <c r="AU16" i="4"/>
  <c r="AY16" i="4" s="1"/>
  <c r="AV16" i="4"/>
  <c r="AZ16" i="4" s="1"/>
  <c r="X14" i="4"/>
  <c r="W14" i="4"/>
  <c r="AM60" i="4"/>
  <c r="AN60" i="4"/>
  <c r="AB77" i="4"/>
  <c r="AA77" i="4"/>
  <c r="X8" i="4"/>
  <c r="AF8" i="4" s="1"/>
  <c r="W8" i="4"/>
  <c r="AE8" i="4" s="1"/>
  <c r="X19" i="4"/>
  <c r="W19" i="4"/>
  <c r="AM21" i="4"/>
  <c r="AN21" i="4"/>
  <c r="AB23" i="4"/>
  <c r="AA23" i="4"/>
  <c r="X27" i="4"/>
  <c r="W27" i="4"/>
  <c r="X29" i="4"/>
  <c r="W29" i="4"/>
  <c r="AB31" i="4"/>
  <c r="AA31" i="4"/>
  <c r="X35" i="4"/>
  <c r="W35" i="4"/>
  <c r="AM37" i="4"/>
  <c r="AN37" i="4"/>
  <c r="AM54" i="4"/>
  <c r="AN54" i="4"/>
  <c r="X64" i="4"/>
  <c r="W64" i="4"/>
  <c r="AB66" i="4"/>
  <c r="AA66" i="4"/>
  <c r="AB68" i="4"/>
  <c r="AA68" i="4"/>
  <c r="X78" i="4"/>
  <c r="W78" i="4"/>
  <c r="X9" i="4"/>
  <c r="W9" i="4"/>
  <c r="AM11" i="4"/>
  <c r="AN11" i="4"/>
  <c r="AM14" i="4"/>
  <c r="AN14" i="4"/>
  <c r="AB42" i="4"/>
  <c r="AA42" i="4"/>
  <c r="AB58" i="4"/>
  <c r="AA58" i="4"/>
  <c r="AB60" i="4"/>
  <c r="AA60" i="4"/>
  <c r="AB71" i="4"/>
  <c r="AA71" i="4"/>
  <c r="AM73" i="4"/>
  <c r="AN73" i="4"/>
  <c r="AM75" i="4"/>
  <c r="AN75" i="4"/>
  <c r="AB79" i="4"/>
  <c r="AA79" i="4"/>
  <c r="X81" i="4"/>
  <c r="W81" i="4"/>
  <c r="AB13" i="4"/>
  <c r="AA13" i="4"/>
  <c r="X59" i="4"/>
  <c r="W59" i="4"/>
  <c r="X61" i="4"/>
  <c r="W61" i="4"/>
  <c r="AM63" i="4"/>
  <c r="AN63" i="4"/>
  <c r="X74" i="4"/>
  <c r="W74" i="4"/>
  <c r="AM76" i="4"/>
  <c r="AN76" i="4"/>
  <c r="AM82" i="4"/>
  <c r="AN82" i="4"/>
  <c r="AB18" i="4"/>
  <c r="AA18" i="4"/>
  <c r="AB20" i="4"/>
  <c r="AA20" i="4"/>
  <c r="AM22" i="4"/>
  <c r="AN22" i="4"/>
  <c r="X26" i="4"/>
  <c r="W26" i="4"/>
  <c r="AB28" i="4"/>
  <c r="AA28" i="4"/>
  <c r="AM30" i="4"/>
  <c r="AN30" i="4"/>
  <c r="X34" i="4"/>
  <c r="W34" i="4"/>
  <c r="AM36" i="4"/>
  <c r="AN36" i="4"/>
  <c r="AM38" i="4"/>
  <c r="AN38" i="4"/>
  <c r="X55" i="4"/>
  <c r="W55" i="4"/>
  <c r="X65" i="4"/>
  <c r="W65" i="4"/>
  <c r="AM67" i="4"/>
  <c r="AN67" i="4"/>
  <c r="X10" i="4"/>
  <c r="W10" i="4"/>
  <c r="AM80" i="4"/>
  <c r="AN80" i="4"/>
  <c r="X25" i="4"/>
  <c r="AF25" i="4" s="1"/>
  <c r="W25" i="4"/>
  <c r="AB29" i="4"/>
  <c r="AA29" i="4"/>
  <c r="X57" i="4"/>
  <c r="AF57" i="4" s="1"/>
  <c r="W57" i="4"/>
  <c r="AM64" i="4"/>
  <c r="AN64" i="4"/>
  <c r="X72" i="4"/>
  <c r="AF72" i="4" s="1"/>
  <c r="W72" i="4"/>
  <c r="AB78" i="4"/>
  <c r="AA78" i="4"/>
  <c r="AM9" i="4"/>
  <c r="AN9" i="4"/>
  <c r="AB11" i="4"/>
  <c r="AA11" i="4"/>
  <c r="X40" i="4"/>
  <c r="W40" i="4"/>
  <c r="X42" i="4"/>
  <c r="AF42" i="4" s="1"/>
  <c r="W42" i="4"/>
  <c r="AE42" i="4" s="1"/>
  <c r="AM58" i="4"/>
  <c r="AN58" i="4"/>
  <c r="X71" i="4"/>
  <c r="W71" i="4"/>
  <c r="AB73" i="4"/>
  <c r="AA73" i="4"/>
  <c r="AM77" i="4"/>
  <c r="AN77" i="4"/>
  <c r="X79" i="4"/>
  <c r="AF79" i="4" s="1"/>
  <c r="W79" i="4"/>
  <c r="AB81" i="4"/>
  <c r="AA81" i="4"/>
  <c r="AM41" i="4"/>
  <c r="AN41" i="4"/>
  <c r="AM59" i="4"/>
  <c r="AN59" i="4"/>
  <c r="AB61" i="4"/>
  <c r="AA61" i="4"/>
  <c r="X70" i="4"/>
  <c r="W70" i="4"/>
  <c r="AB74" i="4"/>
  <c r="AA74" i="4"/>
  <c r="AB76" i="4"/>
  <c r="AA76" i="4"/>
  <c r="X15" i="4"/>
  <c r="W15" i="4"/>
  <c r="X18" i="4"/>
  <c r="W18" i="4"/>
  <c r="X20" i="4"/>
  <c r="AF20" i="4" s="1"/>
  <c r="W20" i="4"/>
  <c r="AM24" i="4"/>
  <c r="AN24" i="4"/>
  <c r="AB26" i="4"/>
  <c r="AA26" i="4"/>
  <c r="X28" i="4"/>
  <c r="W28" i="4"/>
  <c r="X32" i="4"/>
  <c r="W32" i="4"/>
  <c r="AB34" i="4"/>
  <c r="AA34" i="4"/>
  <c r="AB36" i="4"/>
  <c r="AA36" i="4"/>
  <c r="AM53" i="4"/>
  <c r="AN53" i="4"/>
  <c r="AM55" i="4"/>
  <c r="AN55" i="4"/>
  <c r="AB65" i="4"/>
  <c r="AA65" i="4"/>
  <c r="AM69" i="4"/>
  <c r="AN69" i="4"/>
  <c r="AB10" i="4"/>
  <c r="AA10" i="4"/>
  <c r="AB80" i="4"/>
  <c r="AA80" i="4"/>
  <c r="AM19" i="4"/>
  <c r="AN19" i="4"/>
  <c r="AM33" i="4"/>
  <c r="AN33" i="4"/>
  <c r="AM35" i="4"/>
  <c r="AN35" i="4"/>
  <c r="AB37" i="4"/>
  <c r="AA37" i="4"/>
  <c r="AM66" i="4"/>
  <c r="AN66" i="4"/>
  <c r="AM8" i="4"/>
  <c r="AN8" i="4"/>
  <c r="X17" i="4"/>
  <c r="AF17" i="4" s="1"/>
  <c r="W17" i="4"/>
  <c r="AE17" i="4" s="1"/>
  <c r="AB19" i="4"/>
  <c r="AA19" i="4"/>
  <c r="X23" i="4"/>
  <c r="AF23" i="4" s="1"/>
  <c r="W23" i="4"/>
  <c r="AE23" i="4" s="1"/>
  <c r="AM25" i="4"/>
  <c r="AN25" i="4"/>
  <c r="AB27" i="4"/>
  <c r="AA27" i="4"/>
  <c r="X31" i="4"/>
  <c r="AF31" i="4" s="1"/>
  <c r="W31" i="4"/>
  <c r="AE31" i="4" s="1"/>
  <c r="X33" i="4"/>
  <c r="AF33" i="4" s="1"/>
  <c r="W33" i="4"/>
  <c r="AE33" i="4" s="1"/>
  <c r="AB35" i="4"/>
  <c r="AA35" i="4"/>
  <c r="AB54" i="4"/>
  <c r="AA54" i="4"/>
  <c r="AM57" i="4"/>
  <c r="AN57" i="4"/>
  <c r="AB64" i="4"/>
  <c r="AA64" i="4"/>
  <c r="X68" i="4"/>
  <c r="AF68" i="4" s="1"/>
  <c r="W68" i="4"/>
  <c r="AE68" i="4" s="1"/>
  <c r="AM72" i="4"/>
  <c r="AN72" i="4"/>
  <c r="AM78" i="4"/>
  <c r="AN78" i="4"/>
  <c r="AB9" i="4"/>
  <c r="AA9" i="4"/>
  <c r="AB14" i="4"/>
  <c r="AA14" i="4"/>
  <c r="AM40" i="4"/>
  <c r="AN40" i="4"/>
  <c r="AM42" i="4"/>
  <c r="AN42" i="4"/>
  <c r="X60" i="4"/>
  <c r="AF60" i="4" s="1"/>
  <c r="W60" i="4"/>
  <c r="AE60" i="4" s="1"/>
  <c r="X62" i="4"/>
  <c r="W62" i="4"/>
  <c r="AE62" i="4" s="1"/>
  <c r="AM71" i="4"/>
  <c r="AN71" i="4"/>
  <c r="X75" i="4"/>
  <c r="W75" i="4"/>
  <c r="X77" i="4"/>
  <c r="AF77" i="4" s="1"/>
  <c r="W77" i="4"/>
  <c r="AE77" i="4" s="1"/>
  <c r="AM79" i="4"/>
  <c r="AN79" i="4"/>
  <c r="AM13" i="4"/>
  <c r="AN13" i="4"/>
  <c r="X41" i="4"/>
  <c r="W41" i="4"/>
  <c r="AB59" i="4"/>
  <c r="AA59" i="4"/>
  <c r="AB63" i="4"/>
  <c r="AA63" i="4"/>
  <c r="AB70" i="4"/>
  <c r="AA70" i="4"/>
  <c r="AM74" i="4"/>
  <c r="AN74" i="4"/>
  <c r="X82" i="4"/>
  <c r="W82" i="4"/>
  <c r="AM15" i="4"/>
  <c r="AN15" i="4"/>
  <c r="AM18" i="4"/>
  <c r="AN18" i="4"/>
  <c r="X22" i="4"/>
  <c r="W22" i="4"/>
  <c r="AB24" i="4"/>
  <c r="AA24" i="4"/>
  <c r="AM26" i="4"/>
  <c r="AN26" i="4"/>
  <c r="AB30" i="4"/>
  <c r="AA30" i="4"/>
  <c r="AM32" i="4"/>
  <c r="AN32" i="4"/>
  <c r="AM34" i="4"/>
  <c r="AN34" i="4"/>
  <c r="X38" i="4"/>
  <c r="W38" i="4"/>
  <c r="X53" i="4"/>
  <c r="W53" i="4"/>
  <c r="AB55" i="4"/>
  <c r="AA55" i="4"/>
  <c r="X67" i="4"/>
  <c r="W67" i="4"/>
  <c r="X69" i="4"/>
  <c r="W69" i="4"/>
  <c r="AM10" i="4"/>
  <c r="AN10" i="4"/>
  <c r="AB21" i="4"/>
  <c r="AA21" i="4"/>
  <c r="AM23" i="4"/>
  <c r="AN23" i="4"/>
  <c r="AM31" i="4"/>
  <c r="AN31" i="4"/>
  <c r="X54" i="4"/>
  <c r="W54" i="4"/>
  <c r="AM68" i="4"/>
  <c r="AN68" i="4"/>
  <c r="X11" i="4"/>
  <c r="AF11" i="4" s="1"/>
  <c r="W11" i="4"/>
  <c r="AB40" i="4"/>
  <c r="AA40" i="4"/>
  <c r="X58" i="4"/>
  <c r="AF58" i="4" s="1"/>
  <c r="W58" i="4"/>
  <c r="AM62" i="4"/>
  <c r="AN62" i="4"/>
  <c r="X73" i="4"/>
  <c r="W73" i="4"/>
  <c r="AB75" i="4"/>
  <c r="AA75" i="4"/>
  <c r="AM81" i="4"/>
  <c r="AN81" i="4"/>
  <c r="X13" i="4"/>
  <c r="AF13" i="4" s="1"/>
  <c r="W13" i="4"/>
  <c r="AB41" i="4"/>
  <c r="AA41" i="4"/>
  <c r="AM61" i="4"/>
  <c r="AN61" i="4"/>
  <c r="X63" i="4"/>
  <c r="W63" i="4"/>
  <c r="AM70" i="4"/>
  <c r="AN70" i="4"/>
  <c r="X76" i="4"/>
  <c r="AF76" i="4" s="1"/>
  <c r="W76" i="4"/>
  <c r="AB82" i="4"/>
  <c r="AA82" i="4"/>
  <c r="AB15" i="4"/>
  <c r="AA15" i="4"/>
  <c r="AM20" i="4"/>
  <c r="AN20" i="4"/>
  <c r="AB22" i="4"/>
  <c r="AA22" i="4"/>
  <c r="X24" i="4"/>
  <c r="W24" i="4"/>
  <c r="AM28" i="4"/>
  <c r="AN28" i="4"/>
  <c r="X30" i="4"/>
  <c r="W30" i="4"/>
  <c r="AB32" i="4"/>
  <c r="AA32" i="4"/>
  <c r="X36" i="4"/>
  <c r="AF36" i="4" s="1"/>
  <c r="W36" i="4"/>
  <c r="AE36" i="4" s="1"/>
  <c r="AB38" i="4"/>
  <c r="AA38" i="4"/>
  <c r="AB53" i="4"/>
  <c r="AA53" i="4"/>
  <c r="AM65" i="4"/>
  <c r="AN65" i="4"/>
  <c r="AB67" i="4"/>
  <c r="AA67" i="4"/>
  <c r="AB69" i="4"/>
  <c r="AA69" i="4"/>
  <c r="X80" i="4"/>
  <c r="AF80" i="4" s="1"/>
  <c r="W80" i="4"/>
  <c r="AE80" i="4" s="1"/>
  <c r="BM8" i="4"/>
  <c r="AB62" i="4"/>
  <c r="AP19" i="4"/>
  <c r="AP33" i="4"/>
  <c r="AP66" i="4"/>
  <c r="AP60" i="4"/>
  <c r="AP81" i="4"/>
  <c r="AP61" i="4"/>
  <c r="AP70" i="4"/>
  <c r="AP15" i="4"/>
  <c r="AP18" i="4"/>
  <c r="AP26" i="4"/>
  <c r="AP32" i="4"/>
  <c r="AP34" i="4"/>
  <c r="AP10" i="4"/>
  <c r="AP8" i="4"/>
  <c r="AP25" i="4"/>
  <c r="AP57" i="4"/>
  <c r="AP72" i="4"/>
  <c r="AP78" i="4"/>
  <c r="AP11" i="4"/>
  <c r="AP14" i="4"/>
  <c r="AP73" i="4"/>
  <c r="AP75" i="4"/>
  <c r="AP63" i="4"/>
  <c r="AP76" i="4"/>
  <c r="AP82" i="4"/>
  <c r="AP20" i="4"/>
  <c r="AP28" i="4"/>
  <c r="AP65" i="4"/>
  <c r="AP27" i="4"/>
  <c r="AP35" i="4"/>
  <c r="AP64" i="4"/>
  <c r="AP23" i="4"/>
  <c r="AP29" i="4"/>
  <c r="AP31" i="4"/>
  <c r="AP68" i="4"/>
  <c r="AP9" i="4"/>
  <c r="AP58" i="4"/>
  <c r="AP77" i="4"/>
  <c r="AP41" i="4"/>
  <c r="AP59" i="4"/>
  <c r="AP22" i="4"/>
  <c r="AP30" i="4"/>
  <c r="AP36" i="4"/>
  <c r="AP38" i="4"/>
  <c r="AP67" i="4"/>
  <c r="AP80" i="4"/>
  <c r="AP17" i="4"/>
  <c r="AP62" i="4"/>
  <c r="AP21" i="4"/>
  <c r="AP37" i="4"/>
  <c r="AP54" i="4"/>
  <c r="AX16" i="4"/>
  <c r="AP40" i="4"/>
  <c r="AP42" i="4"/>
  <c r="AP71" i="4"/>
  <c r="AP79" i="4"/>
  <c r="AP13" i="4"/>
  <c r="AP74" i="4"/>
  <c r="AP24" i="4"/>
  <c r="AP53" i="4"/>
  <c r="AP55" i="4"/>
  <c r="AP69" i="4"/>
  <c r="L10" i="10"/>
  <c r="E10" i="10"/>
  <c r="F10" i="10" s="1"/>
  <c r="L8" i="10"/>
  <c r="E8" i="10"/>
  <c r="F8" i="10" s="1"/>
  <c r="L9" i="10"/>
  <c r="E9" i="10"/>
  <c r="F9" i="10" s="1"/>
  <c r="J16" i="3"/>
  <c r="J17" i="3"/>
  <c r="AF73" i="4" l="1"/>
  <c r="AF28" i="4"/>
  <c r="AF18" i="4"/>
  <c r="AF71" i="4"/>
  <c r="AE58" i="4"/>
  <c r="AE28" i="4"/>
  <c r="AE18" i="4"/>
  <c r="AE63" i="4"/>
  <c r="AE73" i="4"/>
  <c r="AE71" i="4"/>
  <c r="BU8" i="4"/>
  <c r="AE30" i="4"/>
  <c r="AE24" i="4"/>
  <c r="AE13" i="4"/>
  <c r="AE76" i="4"/>
  <c r="AE11" i="4"/>
  <c r="AE54" i="4"/>
  <c r="AE20" i="4"/>
  <c r="AE79" i="4"/>
  <c r="AE72" i="4"/>
  <c r="AE57" i="4"/>
  <c r="AE25" i="4"/>
  <c r="AF30" i="4"/>
  <c r="AF24" i="4"/>
  <c r="AF63" i="4"/>
  <c r="AF54" i="4"/>
  <c r="AQ71" i="4"/>
  <c r="AR71" i="4"/>
  <c r="AQ17" i="4"/>
  <c r="AR17" i="4"/>
  <c r="AQ41" i="4"/>
  <c r="AR41" i="4"/>
  <c r="AQ64" i="4"/>
  <c r="AR64" i="4"/>
  <c r="AQ69" i="4"/>
  <c r="AR69" i="4"/>
  <c r="AQ74" i="4"/>
  <c r="AR74" i="4"/>
  <c r="AQ42" i="4"/>
  <c r="AR42" i="4"/>
  <c r="AQ37" i="4"/>
  <c r="AR37" i="4"/>
  <c r="AQ80" i="4"/>
  <c r="AR80" i="4"/>
  <c r="AQ30" i="4"/>
  <c r="AR30" i="4"/>
  <c r="AQ77" i="4"/>
  <c r="AR77" i="4"/>
  <c r="AQ31" i="4"/>
  <c r="AR31" i="4"/>
  <c r="AQ35" i="4"/>
  <c r="AR35" i="4"/>
  <c r="AQ20" i="4"/>
  <c r="AR20" i="4"/>
  <c r="AQ75" i="4"/>
  <c r="AR75" i="4"/>
  <c r="AQ78" i="4"/>
  <c r="AR78" i="4"/>
  <c r="AQ8" i="4"/>
  <c r="AR8" i="4"/>
  <c r="AQ26" i="4"/>
  <c r="AR26" i="4"/>
  <c r="AQ61" i="4"/>
  <c r="AR61" i="4"/>
  <c r="AQ33" i="4"/>
  <c r="AR33" i="4"/>
  <c r="AE67" i="4"/>
  <c r="AE53" i="4"/>
  <c r="AE82" i="4"/>
  <c r="AE70" i="4"/>
  <c r="AE55" i="4"/>
  <c r="AE26" i="4"/>
  <c r="AE74" i="4"/>
  <c r="AE61" i="4"/>
  <c r="AE78" i="4"/>
  <c r="AE35" i="4"/>
  <c r="AE29" i="4"/>
  <c r="AE19" i="4"/>
  <c r="AE14" i="4"/>
  <c r="AQ13" i="4"/>
  <c r="AR13" i="4"/>
  <c r="AQ21" i="4"/>
  <c r="AR21" i="4"/>
  <c r="AQ22" i="4"/>
  <c r="AR22" i="4"/>
  <c r="AQ29" i="4"/>
  <c r="AR29" i="4"/>
  <c r="AQ73" i="4"/>
  <c r="AR73" i="4"/>
  <c r="AQ10" i="4"/>
  <c r="AR10" i="4"/>
  <c r="AQ19" i="4"/>
  <c r="AR19" i="4"/>
  <c r="AF67" i="4"/>
  <c r="AF53" i="4"/>
  <c r="AF82" i="4"/>
  <c r="AF70" i="4"/>
  <c r="AF55" i="4"/>
  <c r="AF26" i="4"/>
  <c r="AF74" i="4"/>
  <c r="AF61" i="4"/>
  <c r="AF78" i="4"/>
  <c r="AF35" i="4"/>
  <c r="AF29" i="4"/>
  <c r="AF19" i="4"/>
  <c r="AF14" i="4"/>
  <c r="AQ55" i="4"/>
  <c r="AR55" i="4"/>
  <c r="AQ40" i="4"/>
  <c r="AR40" i="4"/>
  <c r="AQ67" i="4"/>
  <c r="AR67" i="4"/>
  <c r="AQ58" i="4"/>
  <c r="AR58" i="4"/>
  <c r="AQ27" i="4"/>
  <c r="AR27" i="4"/>
  <c r="AQ82" i="4"/>
  <c r="AR82" i="4"/>
  <c r="AQ72" i="4"/>
  <c r="AR72" i="4"/>
  <c r="AQ18" i="4"/>
  <c r="AR18" i="4"/>
  <c r="AQ81" i="4"/>
  <c r="AR81" i="4"/>
  <c r="AQ53" i="4"/>
  <c r="AR53" i="4"/>
  <c r="AQ79" i="4"/>
  <c r="AR79" i="4"/>
  <c r="AQ62" i="4"/>
  <c r="AR62" i="4"/>
  <c r="AQ38" i="4"/>
  <c r="AR38" i="4"/>
  <c r="AQ59" i="4"/>
  <c r="AR59" i="4"/>
  <c r="AQ9" i="4"/>
  <c r="AR9" i="4"/>
  <c r="AQ23" i="4"/>
  <c r="AR23" i="4"/>
  <c r="AQ65" i="4"/>
  <c r="AR65" i="4"/>
  <c r="AQ76" i="4"/>
  <c r="AR76" i="4"/>
  <c r="AQ14" i="4"/>
  <c r="AR14" i="4"/>
  <c r="AQ57" i="4"/>
  <c r="AR57" i="4"/>
  <c r="AQ34" i="4"/>
  <c r="AR34" i="4"/>
  <c r="AQ15" i="4"/>
  <c r="AR15" i="4"/>
  <c r="AQ60" i="4"/>
  <c r="AR60" i="4"/>
  <c r="AE69" i="4"/>
  <c r="AE38" i="4"/>
  <c r="AE22" i="4"/>
  <c r="AE41" i="4"/>
  <c r="AE75" i="4"/>
  <c r="AE32" i="4"/>
  <c r="AE15" i="4"/>
  <c r="AE40" i="4"/>
  <c r="AE10" i="4"/>
  <c r="AE65" i="4"/>
  <c r="AE34" i="4"/>
  <c r="AE59" i="4"/>
  <c r="AE81" i="4"/>
  <c r="AE9" i="4"/>
  <c r="AE64" i="4"/>
  <c r="AE27" i="4"/>
  <c r="AE66" i="4"/>
  <c r="AE37" i="4"/>
  <c r="AE21" i="4"/>
  <c r="AQ24" i="4"/>
  <c r="AR24" i="4"/>
  <c r="AQ54" i="4"/>
  <c r="AR54" i="4"/>
  <c r="AQ36" i="4"/>
  <c r="AR36" i="4"/>
  <c r="AQ68" i="4"/>
  <c r="AR68" i="4"/>
  <c r="AQ28" i="4"/>
  <c r="AR28" i="4"/>
  <c r="AQ63" i="4"/>
  <c r="AR63" i="4"/>
  <c r="AQ11" i="4"/>
  <c r="AR11" i="4"/>
  <c r="AQ25" i="4"/>
  <c r="AR25" i="4"/>
  <c r="AQ32" i="4"/>
  <c r="AR32" i="4"/>
  <c r="AQ70" i="4"/>
  <c r="AR70" i="4"/>
  <c r="AQ66" i="4"/>
  <c r="AR66" i="4"/>
  <c r="AF69" i="4"/>
  <c r="AF38" i="4"/>
  <c r="AF22" i="4"/>
  <c r="AF41" i="4"/>
  <c r="AF75" i="4"/>
  <c r="AF62" i="4"/>
  <c r="AF32" i="4"/>
  <c r="AF15" i="4"/>
  <c r="AF40" i="4"/>
  <c r="AF10" i="4"/>
  <c r="AF65" i="4"/>
  <c r="AF34" i="4"/>
  <c r="AF59" i="4"/>
  <c r="AF81" i="4"/>
  <c r="AF9" i="4"/>
  <c r="AF64" i="4"/>
  <c r="AF27" i="4"/>
  <c r="AF66" i="4"/>
  <c r="AF37" i="4"/>
  <c r="AF21" i="4"/>
  <c r="AT9" i="4"/>
  <c r="AT28" i="4"/>
  <c r="AT82" i="4"/>
  <c r="AT63" i="4"/>
  <c r="AT34" i="4"/>
  <c r="AT26" i="4"/>
  <c r="AT61" i="4"/>
  <c r="AT55" i="4"/>
  <c r="AT24" i="4"/>
  <c r="AT71" i="4"/>
  <c r="AT21" i="4"/>
  <c r="AT17" i="4"/>
  <c r="AT80" i="4"/>
  <c r="AT38" i="4"/>
  <c r="AT30" i="4"/>
  <c r="AT41" i="4"/>
  <c r="AT77" i="4"/>
  <c r="AT29" i="4"/>
  <c r="AT64" i="4"/>
  <c r="AT35" i="4"/>
  <c r="AT75" i="4"/>
  <c r="AT57" i="4"/>
  <c r="AT25" i="4"/>
  <c r="AT70" i="4"/>
  <c r="AT19" i="4"/>
  <c r="AT69" i="4"/>
  <c r="AT22" i="4"/>
  <c r="AT62" i="4"/>
  <c r="AT67" i="4"/>
  <c r="AT68" i="4"/>
  <c r="AT11" i="4"/>
  <c r="AT72" i="4"/>
  <c r="AT15" i="4"/>
  <c r="AT81" i="4"/>
  <c r="AT74" i="4"/>
  <c r="AT42" i="4"/>
  <c r="AT37" i="4"/>
  <c r="AT58" i="4"/>
  <c r="AT27" i="4"/>
  <c r="AT79" i="4"/>
  <c r="AT54" i="4"/>
  <c r="AT53" i="4"/>
  <c r="AT13" i="4"/>
  <c r="AT40" i="4"/>
  <c r="AT36" i="4"/>
  <c r="AT59" i="4"/>
  <c r="AT31" i="4"/>
  <c r="AT23" i="4"/>
  <c r="AT65" i="4"/>
  <c r="AT20" i="4"/>
  <c r="AT76" i="4"/>
  <c r="AT73" i="4"/>
  <c r="AT14" i="4"/>
  <c r="AT78" i="4"/>
  <c r="AT8" i="4"/>
  <c r="AT10" i="4"/>
  <c r="AT32" i="4"/>
  <c r="AT18" i="4"/>
  <c r="AT60" i="4"/>
  <c r="AT66" i="4"/>
  <c r="AT33" i="4"/>
  <c r="K13" i="6"/>
  <c r="AU23" i="4" l="1"/>
  <c r="AY23" i="4" s="1"/>
  <c r="AV23" i="4"/>
  <c r="AZ23" i="4" s="1"/>
  <c r="AU42" i="4"/>
  <c r="AY42" i="4" s="1"/>
  <c r="AV42" i="4"/>
  <c r="AZ42" i="4" s="1"/>
  <c r="AU35" i="4"/>
  <c r="AY35" i="4" s="1"/>
  <c r="AV35" i="4"/>
  <c r="AZ35" i="4" s="1"/>
  <c r="AU18" i="4"/>
  <c r="AY18" i="4" s="1"/>
  <c r="AV18" i="4"/>
  <c r="AZ18" i="4" s="1"/>
  <c r="AU20" i="4"/>
  <c r="AV20" i="4"/>
  <c r="AZ20" i="4" s="1"/>
  <c r="AU53" i="4"/>
  <c r="AY53" i="4" s="1"/>
  <c r="AV53" i="4"/>
  <c r="AZ53" i="4" s="1"/>
  <c r="AU81" i="4"/>
  <c r="AY81" i="4" s="1"/>
  <c r="AV81" i="4"/>
  <c r="AZ81" i="4" s="1"/>
  <c r="AU68" i="4"/>
  <c r="AY68" i="4" s="1"/>
  <c r="AV68" i="4"/>
  <c r="AZ68" i="4" s="1"/>
  <c r="AU57" i="4"/>
  <c r="AY57" i="4" s="1"/>
  <c r="AV57" i="4"/>
  <c r="AZ57" i="4" s="1"/>
  <c r="AU29" i="4"/>
  <c r="AY29" i="4" s="1"/>
  <c r="AV29" i="4"/>
  <c r="AZ29" i="4" s="1"/>
  <c r="AU38" i="4"/>
  <c r="AY38" i="4" s="1"/>
  <c r="AV38" i="4"/>
  <c r="AZ38" i="4" s="1"/>
  <c r="AU71" i="4"/>
  <c r="AY71" i="4" s="1"/>
  <c r="AV71" i="4"/>
  <c r="AZ71" i="4" s="1"/>
  <c r="AU28" i="4"/>
  <c r="AY28" i="4" s="1"/>
  <c r="AV28" i="4"/>
  <c r="AZ28" i="4" s="1"/>
  <c r="AU33" i="4"/>
  <c r="AY33" i="4" s="1"/>
  <c r="AV33" i="4"/>
  <c r="AZ33" i="4" s="1"/>
  <c r="AU32" i="4"/>
  <c r="AY32" i="4" s="1"/>
  <c r="AV32" i="4"/>
  <c r="AZ32" i="4" s="1"/>
  <c r="AU14" i="4"/>
  <c r="AY14" i="4" s="1"/>
  <c r="AV14" i="4"/>
  <c r="AZ14" i="4" s="1"/>
  <c r="AU65" i="4"/>
  <c r="AY65" i="4" s="1"/>
  <c r="AV65" i="4"/>
  <c r="AZ65" i="4" s="1"/>
  <c r="AU36" i="4"/>
  <c r="AY36" i="4" s="1"/>
  <c r="AV36" i="4"/>
  <c r="AZ36" i="4" s="1"/>
  <c r="AU54" i="4"/>
  <c r="AV54" i="4"/>
  <c r="AZ54" i="4" s="1"/>
  <c r="AU37" i="4"/>
  <c r="AY37" i="4" s="1"/>
  <c r="AV37" i="4"/>
  <c r="AZ37" i="4" s="1"/>
  <c r="AU15" i="4"/>
  <c r="AY15" i="4" s="1"/>
  <c r="AV15" i="4"/>
  <c r="AZ15" i="4" s="1"/>
  <c r="AU67" i="4"/>
  <c r="AV67" i="4"/>
  <c r="AZ67" i="4" s="1"/>
  <c r="AU19" i="4"/>
  <c r="AY19" i="4" s="1"/>
  <c r="AV19" i="4"/>
  <c r="AZ19" i="4" s="1"/>
  <c r="AU75" i="4"/>
  <c r="AY75" i="4" s="1"/>
  <c r="AV75" i="4"/>
  <c r="AZ75" i="4" s="1"/>
  <c r="AU77" i="4"/>
  <c r="AY77" i="4" s="1"/>
  <c r="AV77" i="4"/>
  <c r="AZ77" i="4" s="1"/>
  <c r="AU80" i="4"/>
  <c r="AY80" i="4" s="1"/>
  <c r="AV80" i="4"/>
  <c r="AZ80" i="4" s="1"/>
  <c r="AU24" i="4"/>
  <c r="AY24" i="4" s="1"/>
  <c r="AV24" i="4"/>
  <c r="AZ24" i="4" s="1"/>
  <c r="AU34" i="4"/>
  <c r="AY34" i="4" s="1"/>
  <c r="AV34" i="4"/>
  <c r="AZ34" i="4" s="1"/>
  <c r="AU9" i="4"/>
  <c r="AY9" i="4" s="1"/>
  <c r="AV9" i="4"/>
  <c r="AZ9" i="4" s="1"/>
  <c r="AY67" i="4"/>
  <c r="AU73" i="4"/>
  <c r="AY73" i="4" s="1"/>
  <c r="AV73" i="4"/>
  <c r="AZ73" i="4" s="1"/>
  <c r="AU72" i="4"/>
  <c r="AV72" i="4"/>
  <c r="AZ72" i="4" s="1"/>
  <c r="AU55" i="4"/>
  <c r="AY55" i="4" s="1"/>
  <c r="AV55" i="4"/>
  <c r="AZ55" i="4" s="1"/>
  <c r="AU66" i="4"/>
  <c r="AY66" i="4" s="1"/>
  <c r="AV66" i="4"/>
  <c r="AZ66" i="4" s="1"/>
  <c r="AU79" i="4"/>
  <c r="AY79" i="4" s="1"/>
  <c r="AV79" i="4"/>
  <c r="AZ79" i="4" s="1"/>
  <c r="AU62" i="4"/>
  <c r="AY62" i="4" s="1"/>
  <c r="AV62" i="4"/>
  <c r="AZ62" i="4" s="1"/>
  <c r="AU41" i="4"/>
  <c r="AY41" i="4" s="1"/>
  <c r="AV41" i="4"/>
  <c r="AZ41" i="4" s="1"/>
  <c r="AU17" i="4"/>
  <c r="AY17" i="4" s="1"/>
  <c r="AV17" i="4"/>
  <c r="AZ17" i="4" s="1"/>
  <c r="AU63" i="4"/>
  <c r="AY63" i="4" s="1"/>
  <c r="AV63" i="4"/>
  <c r="AZ63" i="4" s="1"/>
  <c r="AU60" i="4"/>
  <c r="AY60" i="4" s="1"/>
  <c r="AV60" i="4"/>
  <c r="AZ60" i="4" s="1"/>
  <c r="AU8" i="4"/>
  <c r="AY8" i="4" s="1"/>
  <c r="AV8" i="4"/>
  <c r="AZ8" i="4" s="1"/>
  <c r="AU76" i="4"/>
  <c r="AY76" i="4" s="1"/>
  <c r="AV76" i="4"/>
  <c r="AZ76" i="4" s="1"/>
  <c r="AU31" i="4"/>
  <c r="AY31" i="4" s="1"/>
  <c r="AV31" i="4"/>
  <c r="AZ31" i="4" s="1"/>
  <c r="AU13" i="4"/>
  <c r="AY13" i="4" s="1"/>
  <c r="AV13" i="4"/>
  <c r="AZ13" i="4" s="1"/>
  <c r="AU27" i="4"/>
  <c r="AY27" i="4" s="1"/>
  <c r="AV27" i="4"/>
  <c r="AZ27" i="4" s="1"/>
  <c r="AU74" i="4"/>
  <c r="AY74" i="4" s="1"/>
  <c r="AV74" i="4"/>
  <c r="AZ74" i="4" s="1"/>
  <c r="AU11" i="4"/>
  <c r="AY11" i="4" s="1"/>
  <c r="AV11" i="4"/>
  <c r="AZ11" i="4" s="1"/>
  <c r="AU22" i="4"/>
  <c r="AY22" i="4" s="1"/>
  <c r="AV22" i="4"/>
  <c r="AZ22" i="4" s="1"/>
  <c r="AU25" i="4"/>
  <c r="AY25" i="4" s="1"/>
  <c r="AV25" i="4"/>
  <c r="AZ25" i="4" s="1"/>
  <c r="AU64" i="4"/>
  <c r="AY64" i="4" s="1"/>
  <c r="AV64" i="4"/>
  <c r="AZ64" i="4" s="1"/>
  <c r="AU30" i="4"/>
  <c r="AY30" i="4" s="1"/>
  <c r="AV30" i="4"/>
  <c r="AZ30" i="4" s="1"/>
  <c r="AU21" i="4"/>
  <c r="AY21" i="4" s="1"/>
  <c r="AV21" i="4"/>
  <c r="AZ21" i="4" s="1"/>
  <c r="AU61" i="4"/>
  <c r="AY61" i="4" s="1"/>
  <c r="AV61" i="4"/>
  <c r="AZ61" i="4" s="1"/>
  <c r="AU82" i="4"/>
  <c r="AY82" i="4" s="1"/>
  <c r="AV82" i="4"/>
  <c r="AZ82" i="4" s="1"/>
  <c r="AY20" i="4"/>
  <c r="AU10" i="4"/>
  <c r="AY10" i="4" s="1"/>
  <c r="AV10" i="4"/>
  <c r="AZ10" i="4" s="1"/>
  <c r="AU40" i="4"/>
  <c r="AY40" i="4" s="1"/>
  <c r="AV40" i="4"/>
  <c r="AZ40" i="4" s="1"/>
  <c r="AU70" i="4"/>
  <c r="AY70" i="4" s="1"/>
  <c r="AV70" i="4"/>
  <c r="AZ70" i="4" s="1"/>
  <c r="AU78" i="4"/>
  <c r="AY78" i="4" s="1"/>
  <c r="AV78" i="4"/>
  <c r="AZ78" i="4" s="1"/>
  <c r="AU59" i="4"/>
  <c r="AY59" i="4" s="1"/>
  <c r="AV59" i="4"/>
  <c r="AZ59" i="4" s="1"/>
  <c r="AU58" i="4"/>
  <c r="AY58" i="4" s="1"/>
  <c r="AV58" i="4"/>
  <c r="AZ58" i="4" s="1"/>
  <c r="AU69" i="4"/>
  <c r="AY69" i="4" s="1"/>
  <c r="AV69" i="4"/>
  <c r="AZ69" i="4" s="1"/>
  <c r="AU26" i="4"/>
  <c r="AY26" i="4" s="1"/>
  <c r="AV26" i="4"/>
  <c r="AZ26" i="4" s="1"/>
  <c r="AY54" i="4"/>
  <c r="AY72" i="4"/>
  <c r="AX32" i="4"/>
  <c r="AX27" i="4"/>
  <c r="AX38" i="4"/>
  <c r="AX24" i="4"/>
  <c r="AX9" i="4"/>
  <c r="AX66" i="4"/>
  <c r="AX78" i="4"/>
  <c r="AX20" i="4"/>
  <c r="AX36" i="4"/>
  <c r="AX79" i="4"/>
  <c r="AX42" i="4"/>
  <c r="AX74" i="4"/>
  <c r="AX81" i="4"/>
  <c r="AX15" i="4"/>
  <c r="AX62" i="4"/>
  <c r="AX64" i="4"/>
  <c r="AX41" i="4"/>
  <c r="AX55" i="4"/>
  <c r="AX31" i="4"/>
  <c r="AX11" i="4"/>
  <c r="AX70" i="4"/>
  <c r="AX25" i="4"/>
  <c r="AX29" i="4"/>
  <c r="AX33" i="4"/>
  <c r="AX37" i="4"/>
  <c r="AX19" i="4"/>
  <c r="AX75" i="4"/>
  <c r="AX35" i="4"/>
  <c r="AX30" i="4"/>
  <c r="AX71" i="4"/>
  <c r="AX34" i="4"/>
  <c r="AX63" i="4"/>
  <c r="AX82" i="4"/>
  <c r="AX60" i="4"/>
  <c r="AX18" i="4"/>
  <c r="AX59" i="4"/>
  <c r="AX40" i="4"/>
  <c r="AX58" i="4"/>
  <c r="AX72" i="4"/>
  <c r="AX68" i="4"/>
  <c r="AX22" i="4"/>
  <c r="AX80" i="4"/>
  <c r="AX14" i="4"/>
  <c r="AX73" i="4"/>
  <c r="AX76" i="4"/>
  <c r="AX65" i="4"/>
  <c r="AX10" i="4"/>
  <c r="AX8" i="4"/>
  <c r="AX23" i="4"/>
  <c r="AX13" i="4"/>
  <c r="AX53" i="4"/>
  <c r="AX54" i="4"/>
  <c r="AX67" i="4"/>
  <c r="AX69" i="4"/>
  <c r="AX57" i="4"/>
  <c r="AX77" i="4"/>
  <c r="AX17" i="4"/>
  <c r="AX21" i="4"/>
  <c r="AX61" i="4"/>
  <c r="AX26" i="4"/>
  <c r="AX28" i="4"/>
  <c r="C7" i="59"/>
  <c r="C8" i="59"/>
  <c r="C9" i="59"/>
  <c r="C10" i="59"/>
  <c r="C11" i="59"/>
  <c r="C12" i="59"/>
  <c r="C13" i="59"/>
  <c r="C14" i="59"/>
  <c r="C15" i="59"/>
  <c r="C16" i="59"/>
  <c r="C6" i="59"/>
  <c r="C5" i="59"/>
  <c r="A61" i="59"/>
  <c r="A60" i="59"/>
  <c r="A59" i="59"/>
  <c r="D55" i="59"/>
  <c r="B55" i="59"/>
  <c r="D54" i="59"/>
  <c r="E54" i="59" s="1"/>
  <c r="B54" i="59"/>
  <c r="C54" i="59" s="1"/>
  <c r="D53" i="59"/>
  <c r="E53" i="59" s="1"/>
  <c r="B53" i="59"/>
  <c r="D52" i="59"/>
  <c r="C52" i="59"/>
  <c r="B52" i="59"/>
  <c r="H50" i="59"/>
  <c r="F50" i="59"/>
  <c r="E50" i="59"/>
  <c r="D61" i="59" s="1"/>
  <c r="C50" i="59"/>
  <c r="B61" i="59" s="1"/>
  <c r="H49" i="59"/>
  <c r="F49" i="59"/>
  <c r="E49" i="59"/>
  <c r="D60" i="59" s="1"/>
  <c r="C49" i="59"/>
  <c r="B60" i="59" s="1"/>
  <c r="H48" i="59"/>
  <c r="F48" i="59"/>
  <c r="E48" i="59"/>
  <c r="D59" i="59" s="1"/>
  <c r="C48" i="59"/>
  <c r="B59" i="59" s="1"/>
  <c r="H47" i="59"/>
  <c r="F47" i="59"/>
  <c r="E47" i="59"/>
  <c r="C47" i="59"/>
  <c r="H46" i="59"/>
  <c r="F46" i="59"/>
  <c r="E46" i="59"/>
  <c r="C46" i="59"/>
  <c r="H45" i="59"/>
  <c r="H54" i="59" s="1"/>
  <c r="F45" i="59"/>
  <c r="E45" i="59"/>
  <c r="C45" i="59"/>
  <c r="H44" i="59"/>
  <c r="F44" i="59"/>
  <c r="E44" i="59"/>
  <c r="C44" i="59"/>
  <c r="H43" i="59"/>
  <c r="F43" i="59"/>
  <c r="E43" i="59"/>
  <c r="C43" i="59"/>
  <c r="H42" i="59"/>
  <c r="F42" i="59"/>
  <c r="E42" i="59"/>
  <c r="C42" i="59"/>
  <c r="H41" i="59"/>
  <c r="F41" i="59"/>
  <c r="E41" i="59"/>
  <c r="C41" i="59"/>
  <c r="H40" i="59"/>
  <c r="F40" i="59"/>
  <c r="E40" i="59"/>
  <c r="C40" i="59"/>
  <c r="H39" i="59"/>
  <c r="H52" i="59" s="1"/>
  <c r="F39" i="59"/>
  <c r="E39" i="59"/>
  <c r="C39" i="59"/>
  <c r="E31" i="59"/>
  <c r="E30" i="59"/>
  <c r="E29" i="59"/>
  <c r="I24" i="59"/>
  <c r="E2" i="13" s="1"/>
  <c r="H24" i="59"/>
  <c r="D2" i="13" s="1"/>
  <c r="G24" i="59"/>
  <c r="C2" i="13" s="1"/>
  <c r="F24" i="59"/>
  <c r="B2" i="13" s="1"/>
  <c r="A16" i="59"/>
  <c r="A15" i="59"/>
  <c r="A14" i="59"/>
  <c r="A13" i="59"/>
  <c r="A12" i="59"/>
  <c r="A11" i="59"/>
  <c r="A10" i="59"/>
  <c r="A9" i="59"/>
  <c r="A8" i="59"/>
  <c r="A7" i="59"/>
  <c r="A6" i="59"/>
  <c r="C18" i="59"/>
  <c r="A5" i="59"/>
  <c r="C53" i="59" l="1"/>
  <c r="C55" i="59"/>
  <c r="B63" i="59" s="1"/>
  <c r="E52" i="59"/>
  <c r="G46" i="59"/>
  <c r="I50" i="59"/>
  <c r="E61" i="59" s="1"/>
  <c r="E55" i="59"/>
  <c r="D63" i="59" s="1"/>
  <c r="A6" i="13"/>
  <c r="A4" i="13"/>
  <c r="A5" i="13"/>
  <c r="I39" i="59"/>
  <c r="G40" i="59"/>
  <c r="G41" i="59"/>
  <c r="G42" i="59"/>
  <c r="G43" i="59"/>
  <c r="G44" i="59"/>
  <c r="G47" i="59"/>
  <c r="G48" i="59"/>
  <c r="C59" i="59" s="1"/>
  <c r="G49" i="59"/>
  <c r="C60" i="59" s="1"/>
  <c r="G50" i="59"/>
  <c r="C61" i="59" s="1"/>
  <c r="C21" i="59"/>
  <c r="I43" i="59"/>
  <c r="F54" i="59"/>
  <c r="G54" i="59" s="1"/>
  <c r="I46" i="59"/>
  <c r="I42" i="59"/>
  <c r="I47" i="59"/>
  <c r="F55" i="59"/>
  <c r="I40" i="59"/>
  <c r="F53" i="59"/>
  <c r="I44" i="59"/>
  <c r="I48" i="59"/>
  <c r="E59" i="59" s="1"/>
  <c r="F52" i="59"/>
  <c r="G52" i="59" s="1"/>
  <c r="I41" i="59"/>
  <c r="I45" i="59"/>
  <c r="I49" i="59"/>
  <c r="E60" i="59" s="1"/>
  <c r="C19" i="59"/>
  <c r="C20" i="59"/>
  <c r="H53" i="59"/>
  <c r="H55" i="59"/>
  <c r="I55" i="59" s="1"/>
  <c r="E63" i="59" s="1"/>
  <c r="G39" i="59"/>
  <c r="G45" i="59"/>
  <c r="I54" i="59" l="1"/>
  <c r="I52" i="59"/>
  <c r="G55" i="59"/>
  <c r="C63" i="59" s="1"/>
  <c r="I53" i="59"/>
  <c r="G53" i="59"/>
  <c r="C9" i="7"/>
  <c r="C19" i="7"/>
  <c r="C8" i="7"/>
  <c r="K7" i="9"/>
  <c r="K8" i="9" s="1"/>
  <c r="K9" i="9" s="1"/>
  <c r="K10" i="9" s="1"/>
  <c r="K11" i="9" s="1"/>
  <c r="K12" i="9" s="1"/>
  <c r="K13" i="9" s="1"/>
  <c r="K14" i="9" s="1"/>
  <c r="K15" i="9" s="1"/>
  <c r="K16" i="9" s="1"/>
  <c r="K17" i="9" s="1"/>
  <c r="K18" i="9" s="1"/>
  <c r="E16" i="59"/>
  <c r="E15" i="59"/>
  <c r="E14" i="59"/>
  <c r="G14" i="59" s="1"/>
  <c r="E13" i="59"/>
  <c r="G13" i="59" s="1"/>
  <c r="G27" i="59" s="1"/>
  <c r="E12" i="59"/>
  <c r="G12" i="59" s="1"/>
  <c r="G26" i="59" s="1"/>
  <c r="E11" i="59"/>
  <c r="G11" i="59" s="1"/>
  <c r="G25" i="59" s="1"/>
  <c r="G34" i="59" s="1"/>
  <c r="E10" i="59"/>
  <c r="G10" i="59" s="1"/>
  <c r="E9" i="59"/>
  <c r="G9" i="59" s="1"/>
  <c r="E8" i="59"/>
  <c r="E7" i="59"/>
  <c r="G7" i="59" s="1"/>
  <c r="E6" i="59"/>
  <c r="G6" i="59" s="1"/>
  <c r="E5" i="59"/>
  <c r="G5" i="59" s="1"/>
  <c r="K18" i="7"/>
  <c r="C18" i="7" s="1"/>
  <c r="C10" i="7"/>
  <c r="G7" i="6"/>
  <c r="G8" i="6" s="1"/>
  <c r="G9" i="6" s="1"/>
  <c r="G10" i="6" s="1"/>
  <c r="G11" i="6" s="1"/>
  <c r="G12" i="6" s="1"/>
  <c r="G13" i="6" s="1"/>
  <c r="G14" i="6" s="1"/>
  <c r="G15" i="6" s="1"/>
  <c r="G16" i="6" s="1"/>
  <c r="G17" i="6" s="1"/>
  <c r="I13" i="9" l="1"/>
  <c r="E13" i="9" s="1"/>
  <c r="I12" i="9"/>
  <c r="E12" i="9" s="1"/>
  <c r="I17" i="9"/>
  <c r="E17" i="9" s="1"/>
  <c r="I9" i="9"/>
  <c r="E9" i="9" s="1"/>
  <c r="I16" i="9"/>
  <c r="E16" i="9" s="1"/>
  <c r="I6" i="59"/>
  <c r="I10" i="59"/>
  <c r="E21" i="59"/>
  <c r="I14" i="59"/>
  <c r="I8" i="10"/>
  <c r="I9" i="10" s="1"/>
  <c r="I10" i="10" s="1"/>
  <c r="I11" i="10" s="1"/>
  <c r="I12" i="10" s="1"/>
  <c r="I13" i="10" s="1"/>
  <c r="I14" i="10" s="1"/>
  <c r="I15" i="10" s="1"/>
  <c r="I16" i="10" s="1"/>
  <c r="I17" i="10" s="1"/>
  <c r="I18" i="10" s="1"/>
  <c r="I19" i="10" s="1"/>
  <c r="I7" i="9"/>
  <c r="E7" i="9" s="1"/>
  <c r="M7" i="9" s="1"/>
  <c r="I15" i="9"/>
  <c r="E15" i="9" s="1"/>
  <c r="I11" i="9"/>
  <c r="E11" i="9" s="1"/>
  <c r="I7" i="59"/>
  <c r="I11" i="59"/>
  <c r="I25" i="59" s="1"/>
  <c r="E20" i="59"/>
  <c r="G20" i="59" s="1"/>
  <c r="C8" i="13" s="1"/>
  <c r="G15" i="59"/>
  <c r="I15" i="59"/>
  <c r="I18" i="9"/>
  <c r="E18" i="9" s="1"/>
  <c r="I14" i="9"/>
  <c r="E14" i="9" s="1"/>
  <c r="I10" i="9"/>
  <c r="E10" i="9" s="1"/>
  <c r="E19" i="59"/>
  <c r="I8" i="59"/>
  <c r="G8" i="59"/>
  <c r="I12" i="59"/>
  <c r="I26" i="59" s="1"/>
  <c r="G16" i="59"/>
  <c r="I16" i="59"/>
  <c r="I5" i="59"/>
  <c r="E18" i="59"/>
  <c r="I9" i="59"/>
  <c r="I13" i="59"/>
  <c r="I27" i="59" s="1"/>
  <c r="C21" i="10"/>
  <c r="I8" i="9"/>
  <c r="E8" i="9" s="1"/>
  <c r="K14" i="7"/>
  <c r="C14" i="7" s="1"/>
  <c r="K15" i="7"/>
  <c r="C15" i="7" s="1"/>
  <c r="K11" i="7"/>
  <c r="C11" i="7" s="1"/>
  <c r="K17" i="7"/>
  <c r="C17" i="7" s="1"/>
  <c r="K13" i="7"/>
  <c r="C13" i="7" s="1"/>
  <c r="K16" i="7"/>
  <c r="C16" i="7" s="1"/>
  <c r="K12" i="7"/>
  <c r="C12" i="7" s="1"/>
  <c r="I34" i="59" l="1"/>
  <c r="L10" i="59"/>
  <c r="E6" i="13"/>
  <c r="L13" i="59"/>
  <c r="L5" i="59"/>
  <c r="E5" i="13"/>
  <c r="L7" i="59"/>
  <c r="L9" i="59"/>
  <c r="L8" i="59"/>
  <c r="L11" i="59"/>
  <c r="I18" i="59"/>
  <c r="I29" i="59" s="1"/>
  <c r="G18" i="59"/>
  <c r="L16" i="59"/>
  <c r="I20" i="59"/>
  <c r="E4" i="13"/>
  <c r="L15" i="59"/>
  <c r="L12" i="59"/>
  <c r="G19" i="59"/>
  <c r="I19" i="59"/>
  <c r="L14" i="59"/>
  <c r="L6" i="59"/>
  <c r="M8" i="9"/>
  <c r="M9" i="9" s="1"/>
  <c r="M10" i="9" s="1"/>
  <c r="M11" i="9" s="1"/>
  <c r="M12" i="9" s="1"/>
  <c r="M13" i="9" s="1"/>
  <c r="M14" i="9" s="1"/>
  <c r="M15" i="9" s="1"/>
  <c r="M16" i="9" s="1"/>
  <c r="M17" i="9" s="1"/>
  <c r="M18" i="9" s="1"/>
  <c r="I21" i="59"/>
  <c r="I32" i="59" s="1"/>
  <c r="G21" i="59"/>
  <c r="I31" i="59" l="1"/>
  <c r="E8" i="13"/>
  <c r="I30" i="59"/>
  <c r="C4" i="13"/>
  <c r="L25" i="59"/>
  <c r="C6" i="13"/>
  <c r="L27" i="59"/>
  <c r="G30" i="59"/>
  <c r="L19" i="59"/>
  <c r="C5" i="13"/>
  <c r="L26" i="59"/>
  <c r="G31" i="59"/>
  <c r="L20" i="59"/>
  <c r="L18" i="59"/>
  <c r="G29" i="59"/>
  <c r="G32" i="59"/>
  <c r="L21" i="59"/>
  <c r="L30" i="59" l="1"/>
  <c r="L31" i="59"/>
  <c r="L29" i="59"/>
  <c r="L32" i="59"/>
  <c r="AJ43" i="4" l="1"/>
  <c r="J7" i="9" l="1"/>
  <c r="M15" i="6" l="1"/>
  <c r="M16" i="6"/>
  <c r="M17" i="6"/>
  <c r="K16" i="6"/>
  <c r="K17" i="6"/>
  <c r="B38" i="3" l="1"/>
  <c r="C38" i="3"/>
  <c r="V31" i="16" l="1"/>
  <c r="W31" i="16"/>
  <c r="U31" i="16"/>
  <c r="D13" i="59" l="1"/>
  <c r="D14" i="59"/>
  <c r="D15" i="59"/>
  <c r="D16" i="59"/>
  <c r="D21" i="59" l="1"/>
  <c r="B22" i="10"/>
  <c r="B14" i="6"/>
  <c r="E16" i="7" s="1"/>
  <c r="M13" i="6"/>
  <c r="B13" i="6"/>
  <c r="E15" i="7" s="1"/>
  <c r="K15" i="6"/>
  <c r="B15" i="6" s="1"/>
  <c r="E17" i="7" s="1"/>
  <c r="B16" i="6"/>
  <c r="E18" i="7" s="1"/>
  <c r="B17" i="6"/>
  <c r="E19" i="7" s="1"/>
  <c r="B12" i="6"/>
  <c r="E14" i="7" s="1"/>
  <c r="B16" i="59" l="1"/>
  <c r="B15" i="59"/>
  <c r="B14" i="59"/>
  <c r="B13" i="59"/>
  <c r="B12" i="59"/>
  <c r="B11" i="59"/>
  <c r="F16" i="59" l="1"/>
  <c r="H16" i="59"/>
  <c r="H15" i="59"/>
  <c r="F15" i="59"/>
  <c r="B21" i="59"/>
  <c r="H14" i="59"/>
  <c r="F14" i="59"/>
  <c r="H13" i="59"/>
  <c r="H27" i="59" s="1"/>
  <c r="F13" i="59"/>
  <c r="F27" i="59" s="1"/>
  <c r="B20" i="59"/>
  <c r="K15" i="59" l="1"/>
  <c r="K16" i="59"/>
  <c r="K14" i="59"/>
  <c r="H21" i="59"/>
  <c r="H32" i="59" s="1"/>
  <c r="F21" i="59"/>
  <c r="K13" i="59"/>
  <c r="O21" i="2"/>
  <c r="O32" i="59" l="1"/>
  <c r="F32" i="59"/>
  <c r="K21" i="59"/>
  <c r="O31" i="36"/>
  <c r="Q31" i="36"/>
  <c r="H36" i="1"/>
  <c r="G36" i="1"/>
  <c r="N32" i="59" l="1"/>
  <c r="K32" i="59"/>
  <c r="AH43" i="4" l="1"/>
  <c r="P31" i="47"/>
  <c r="P31" i="46"/>
  <c r="P31" i="15"/>
  <c r="Q7" i="3"/>
  <c r="AI92" i="4" l="1"/>
  <c r="AI43" i="4"/>
  <c r="P31" i="36"/>
  <c r="Q31" i="51" l="1"/>
  <c r="P31" i="51"/>
  <c r="O31" i="51"/>
  <c r="Q31" i="49"/>
  <c r="P31" i="49"/>
  <c r="O31" i="49"/>
  <c r="Q31" i="48"/>
  <c r="P31" i="48"/>
  <c r="O31" i="48"/>
  <c r="F8" i="1"/>
  <c r="F9" i="1" s="1"/>
  <c r="F10" i="1" s="1"/>
  <c r="F11" i="1" s="1"/>
  <c r="F12" i="1" s="1"/>
  <c r="F13" i="1" s="1"/>
  <c r="F14" i="1" s="1"/>
  <c r="F15" i="1" s="1"/>
  <c r="F16" i="1" s="1"/>
  <c r="F17" i="1" s="1"/>
  <c r="F18" i="1" s="1"/>
  <c r="F19" i="1" s="1"/>
  <c r="O31" i="37" l="1"/>
  <c r="P31" i="37"/>
  <c r="Q31" i="37"/>
  <c r="O31" i="35"/>
  <c r="P31" i="35"/>
  <c r="Q31" i="35"/>
  <c r="O31" i="34"/>
  <c r="P31" i="34"/>
  <c r="Q31" i="34"/>
  <c r="O32" i="33"/>
  <c r="P32" i="33"/>
  <c r="Q32" i="33"/>
  <c r="O31" i="32"/>
  <c r="P31" i="32"/>
  <c r="Q31" i="32"/>
  <c r="O31" i="31"/>
  <c r="P31" i="31"/>
  <c r="Q31" i="31"/>
  <c r="O31" i="29"/>
  <c r="P31" i="29"/>
  <c r="Q31" i="29"/>
  <c r="O32" i="28"/>
  <c r="P32" i="28"/>
  <c r="Q32" i="28"/>
  <c r="O31" i="27"/>
  <c r="P31" i="27"/>
  <c r="Q31" i="27"/>
  <c r="O31" i="26"/>
  <c r="P31" i="26"/>
  <c r="Q31" i="26"/>
  <c r="O30" i="25"/>
  <c r="P30" i="25"/>
  <c r="Q30" i="25"/>
  <c r="O31" i="24"/>
  <c r="P31" i="24"/>
  <c r="Q31" i="24"/>
  <c r="O31" i="19"/>
  <c r="P31" i="19"/>
  <c r="Q31" i="19"/>
  <c r="O31" i="18"/>
  <c r="P31" i="18"/>
  <c r="Q31" i="18"/>
  <c r="Q31" i="17"/>
  <c r="P31" i="17"/>
  <c r="O31" i="17"/>
  <c r="P31" i="16"/>
  <c r="O31" i="16"/>
  <c r="M11" i="6"/>
  <c r="K11" i="6"/>
  <c r="B11" i="6" s="1"/>
  <c r="E13" i="7" s="1"/>
  <c r="K10" i="6"/>
  <c r="B10" i="6" s="1"/>
  <c r="E12" i="7" s="1"/>
  <c r="M10" i="6"/>
  <c r="F12" i="7" s="1"/>
  <c r="M9" i="6"/>
  <c r="F11" i="7" s="1"/>
  <c r="K9" i="6"/>
  <c r="B9" i="6" s="1"/>
  <c r="E11" i="7" s="1"/>
  <c r="F13" i="7" l="1"/>
  <c r="G13" i="7" s="1"/>
  <c r="H13" i="7" s="1"/>
  <c r="B12" i="8"/>
  <c r="G12" i="7"/>
  <c r="G11" i="7"/>
  <c r="B19" i="59" l="1"/>
  <c r="M7" i="6"/>
  <c r="M6" i="6"/>
  <c r="K7" i="6"/>
  <c r="K8" i="6"/>
  <c r="B8" i="6" s="1"/>
  <c r="E10" i="7" s="1"/>
  <c r="K6" i="6"/>
  <c r="B7" i="59" l="1"/>
  <c r="B7" i="6"/>
  <c r="E9" i="7" s="1"/>
  <c r="B6" i="6"/>
  <c r="E8" i="7" s="1"/>
  <c r="F6" i="6"/>
  <c r="F7" i="6" s="1"/>
  <c r="F8" i="6" s="1"/>
  <c r="F9" i="6" s="1"/>
  <c r="F10" i="6" s="1"/>
  <c r="F11" i="6" s="1"/>
  <c r="F12" i="6" s="1"/>
  <c r="F13" i="6" s="1"/>
  <c r="F14" i="6" s="1"/>
  <c r="F15" i="6" s="1"/>
  <c r="F16" i="6" s="1"/>
  <c r="F17" i="6" s="1"/>
  <c r="B5" i="59" l="1"/>
  <c r="B6" i="59"/>
  <c r="B18" i="59" s="1"/>
  <c r="L8" i="2"/>
  <c r="O8" i="2" s="1"/>
  <c r="R6" i="4" l="1"/>
  <c r="F19" i="2"/>
  <c r="B19" i="2" s="1"/>
  <c r="T6" i="4" l="1"/>
  <c r="T87" i="4" s="1"/>
  <c r="S6" i="4"/>
  <c r="S87" i="4" s="1"/>
  <c r="P150" i="4"/>
  <c r="BG6" i="4"/>
  <c r="BK6" i="4"/>
  <c r="AD6" i="4"/>
  <c r="AL6" i="4" s="1"/>
  <c r="Z6" i="4"/>
  <c r="AA6" i="4" s="1"/>
  <c r="AA87" i="4" s="1"/>
  <c r="AA105" i="4" s="1"/>
  <c r="B10" i="10" s="1"/>
  <c r="G10" i="10" s="1"/>
  <c r="V6" i="4"/>
  <c r="P195" i="4"/>
  <c r="P199" i="4"/>
  <c r="P170" i="4"/>
  <c r="P174" i="4"/>
  <c r="P178" i="4"/>
  <c r="P182" i="4"/>
  <c r="P186" i="4"/>
  <c r="P190" i="4"/>
  <c r="P194" i="4"/>
  <c r="P143" i="4"/>
  <c r="P147" i="4"/>
  <c r="P152" i="4"/>
  <c r="P156" i="4"/>
  <c r="P160" i="4"/>
  <c r="P164" i="4"/>
  <c r="P168" i="4"/>
  <c r="P122" i="4"/>
  <c r="P126" i="4"/>
  <c r="P130" i="4"/>
  <c r="P134" i="4"/>
  <c r="P138" i="4"/>
  <c r="P201" i="4"/>
  <c r="P172" i="4"/>
  <c r="P180" i="4"/>
  <c r="P188" i="4"/>
  <c r="P141" i="4"/>
  <c r="P158" i="4"/>
  <c r="P166" i="4"/>
  <c r="P124" i="4"/>
  <c r="P132" i="4"/>
  <c r="P118" i="4"/>
  <c r="P202" i="4"/>
  <c r="P173" i="4"/>
  <c r="P181" i="4"/>
  <c r="P189" i="4"/>
  <c r="P142" i="4"/>
  <c r="P151" i="4"/>
  <c r="P159" i="4"/>
  <c r="P163" i="4"/>
  <c r="P121" i="4"/>
  <c r="P129" i="4"/>
  <c r="P137" i="4"/>
  <c r="P196" i="4"/>
  <c r="P200" i="4"/>
  <c r="P171" i="4"/>
  <c r="P175" i="4"/>
  <c r="P179" i="4"/>
  <c r="P183" i="4"/>
  <c r="P187" i="4"/>
  <c r="P191" i="4"/>
  <c r="P140" i="4"/>
  <c r="P144" i="4"/>
  <c r="P148" i="4"/>
  <c r="P153" i="4"/>
  <c r="P157" i="4"/>
  <c r="P161" i="4"/>
  <c r="P165" i="4"/>
  <c r="P119" i="4"/>
  <c r="P123" i="4"/>
  <c r="P127" i="4"/>
  <c r="P131" i="4"/>
  <c r="P135" i="4"/>
  <c r="P139" i="4"/>
  <c r="P197" i="4"/>
  <c r="P176" i="4"/>
  <c r="P184" i="4"/>
  <c r="P192" i="4"/>
  <c r="P145" i="4"/>
  <c r="P154" i="4"/>
  <c r="P162" i="4"/>
  <c r="P120" i="4"/>
  <c r="P128" i="4"/>
  <c r="P136" i="4"/>
  <c r="P198" i="4"/>
  <c r="P169" i="4"/>
  <c r="P177" i="4"/>
  <c r="P185" i="4"/>
  <c r="P193" i="4"/>
  <c r="P146" i="4"/>
  <c r="P155" i="4"/>
  <c r="P167" i="4"/>
  <c r="P125" i="4"/>
  <c r="P133" i="4"/>
  <c r="F18" i="2"/>
  <c r="B18" i="2" s="1"/>
  <c r="BI6" i="4" l="1"/>
  <c r="BI87" i="4" s="1"/>
  <c r="BH6" i="4"/>
  <c r="X6" i="4"/>
  <c r="W6" i="4"/>
  <c r="W87" i="4" s="1"/>
  <c r="W105" i="4" s="1"/>
  <c r="B9" i="10" s="1"/>
  <c r="AN6" i="4"/>
  <c r="AK161" i="4"/>
  <c r="AK122" i="4"/>
  <c r="AK140" i="4"/>
  <c r="AK177" i="4"/>
  <c r="AK185" i="4"/>
  <c r="AK148" i="4"/>
  <c r="AM6" i="4"/>
  <c r="AK169" i="4"/>
  <c r="AK156" i="4"/>
  <c r="AK159" i="4"/>
  <c r="AK157" i="4"/>
  <c r="AK158" i="4"/>
  <c r="AK160" i="4"/>
  <c r="AK124" i="4"/>
  <c r="AK163" i="4"/>
  <c r="AK119" i="4"/>
  <c r="AK164" i="4"/>
  <c r="AK162" i="4"/>
  <c r="AK165" i="4"/>
  <c r="AK152" i="4"/>
  <c r="AK194" i="4"/>
  <c r="AK193" i="4"/>
  <c r="AK133" i="4"/>
  <c r="AK138" i="4"/>
  <c r="AK201" i="4"/>
  <c r="AK199" i="4"/>
  <c r="AK200" i="4"/>
  <c r="AK198" i="4"/>
  <c r="AK203" i="4"/>
  <c r="AK202" i="4"/>
  <c r="AK128" i="4"/>
  <c r="AK132" i="4"/>
  <c r="AK174" i="4"/>
  <c r="AK181" i="4"/>
  <c r="AK184" i="4"/>
  <c r="AK131" i="4"/>
  <c r="AK137" i="4"/>
  <c r="AK195" i="4"/>
  <c r="AK123" i="4"/>
  <c r="AK142" i="4"/>
  <c r="AK136" i="4"/>
  <c r="AK187" i="4"/>
  <c r="AK173" i="4"/>
  <c r="AK179" i="4"/>
  <c r="AK190" i="4"/>
  <c r="AK149" i="4"/>
  <c r="AK141" i="4"/>
  <c r="AK191" i="4"/>
  <c r="AK139" i="4"/>
  <c r="AK147" i="4"/>
  <c r="AK168" i="4"/>
  <c r="AK154" i="4"/>
  <c r="AK135" i="4"/>
  <c r="AK176" i="4"/>
  <c r="AK188" i="4"/>
  <c r="AK183" i="4"/>
  <c r="AK175" i="4"/>
  <c r="AK145" i="4"/>
  <c r="AK125" i="4"/>
  <c r="AK153" i="4"/>
  <c r="AK166" i="4"/>
  <c r="AK180" i="4"/>
  <c r="AK197" i="4"/>
  <c r="AK186" i="4"/>
  <c r="AK178" i="4"/>
  <c r="AK196" i="4"/>
  <c r="AK146" i="4"/>
  <c r="AK127" i="4"/>
  <c r="AK121" i="4"/>
  <c r="AK151" i="4"/>
  <c r="AK134" i="4"/>
  <c r="AK130" i="4"/>
  <c r="AK172" i="4"/>
  <c r="AK144" i="4"/>
  <c r="AK167" i="4"/>
  <c r="AK192" i="4"/>
  <c r="AK155" i="4"/>
  <c r="AK170" i="4"/>
  <c r="AK120" i="4"/>
  <c r="AK182" i="4"/>
  <c r="AK171" i="4"/>
  <c r="AK189" i="4"/>
  <c r="AK126" i="4"/>
  <c r="AK150" i="4"/>
  <c r="AK129" i="4"/>
  <c r="AK143" i="4"/>
  <c r="AE87" i="4"/>
  <c r="S105" i="4"/>
  <c r="BM6" i="4"/>
  <c r="BM87" i="4" s="1"/>
  <c r="BN141" i="4"/>
  <c r="T105" i="4"/>
  <c r="AB6" i="4"/>
  <c r="AB87" i="4" s="1"/>
  <c r="AB105" i="4" s="1"/>
  <c r="BN111" i="4"/>
  <c r="BN113" i="4"/>
  <c r="BN117" i="4"/>
  <c r="BN121" i="4"/>
  <c r="BN125" i="4"/>
  <c r="BN129" i="4"/>
  <c r="BN133" i="4"/>
  <c r="BN137" i="4"/>
  <c r="BN142" i="4"/>
  <c r="BN146" i="4"/>
  <c r="BN150" i="4"/>
  <c r="BN154" i="4"/>
  <c r="BN160" i="4"/>
  <c r="BN164" i="4"/>
  <c r="BN168" i="4"/>
  <c r="BN172" i="4"/>
  <c r="BN176" i="4"/>
  <c r="BN180" i="4"/>
  <c r="BN184" i="4"/>
  <c r="BN188" i="4"/>
  <c r="BN192" i="4"/>
  <c r="BL6" i="4"/>
  <c r="BN110" i="4"/>
  <c r="BN116" i="4"/>
  <c r="BN122" i="4"/>
  <c r="BN127" i="4"/>
  <c r="BN132" i="4"/>
  <c r="BN138" i="4"/>
  <c r="BN144" i="4"/>
  <c r="BN149" i="4"/>
  <c r="BN157" i="4"/>
  <c r="BN162" i="4"/>
  <c r="BN167" i="4"/>
  <c r="BN173" i="4"/>
  <c r="BN178" i="4"/>
  <c r="BN183" i="4"/>
  <c r="BN189" i="4"/>
  <c r="BN194" i="4"/>
  <c r="BN112" i="4"/>
  <c r="BN119" i="4"/>
  <c r="BN126" i="4"/>
  <c r="BN134" i="4"/>
  <c r="BN148" i="4"/>
  <c r="BN158" i="4"/>
  <c r="BN165" i="4"/>
  <c r="BN171" i="4"/>
  <c r="BN179" i="4"/>
  <c r="BN186" i="4"/>
  <c r="BN193" i="4"/>
  <c r="BN123" i="4"/>
  <c r="BN145" i="4"/>
  <c r="BN161" i="4"/>
  <c r="BN175" i="4"/>
  <c r="BN190" i="4"/>
  <c r="BN114" i="4"/>
  <c r="BN120" i="4"/>
  <c r="BN128" i="4"/>
  <c r="BN135" i="4"/>
  <c r="BN143" i="4"/>
  <c r="BN151" i="4"/>
  <c r="BN159" i="4"/>
  <c r="BN166" i="4"/>
  <c r="BN174" i="4"/>
  <c r="BN181" i="4"/>
  <c r="BN187" i="4"/>
  <c r="BN136" i="4"/>
  <c r="BN118" i="4"/>
  <c r="BN124" i="4"/>
  <c r="BN131" i="4"/>
  <c r="BN139" i="4"/>
  <c r="BN147" i="4"/>
  <c r="BN153" i="4"/>
  <c r="BN163" i="4"/>
  <c r="BN170" i="4"/>
  <c r="BN177" i="4"/>
  <c r="BN185" i="4"/>
  <c r="BN191" i="4"/>
  <c r="BN115" i="4"/>
  <c r="BN130" i="4"/>
  <c r="BN152" i="4"/>
  <c r="BN169" i="4"/>
  <c r="BN182" i="4"/>
  <c r="AP6" i="4"/>
  <c r="O10" i="10"/>
  <c r="O9" i="10"/>
  <c r="BU87" i="4" l="1"/>
  <c r="AF105" i="4"/>
  <c r="AF87" i="4"/>
  <c r="AN87" i="4"/>
  <c r="AR6" i="4"/>
  <c r="AR87" i="4" s="1"/>
  <c r="AR105" i="4" s="1"/>
  <c r="AQ6" i="4"/>
  <c r="AQ87" i="4" s="1"/>
  <c r="AQ105" i="4" s="1"/>
  <c r="B12" i="10" s="1"/>
  <c r="AO161" i="4"/>
  <c r="AO124" i="4"/>
  <c r="AO119" i="4"/>
  <c r="AO156" i="4"/>
  <c r="AO157" i="4"/>
  <c r="AO159" i="4"/>
  <c r="AO169" i="4"/>
  <c r="AO160" i="4"/>
  <c r="AO163" i="4"/>
  <c r="AO158" i="4"/>
  <c r="AO162" i="4"/>
  <c r="AO165" i="4"/>
  <c r="AO164" i="4"/>
  <c r="AO152" i="4"/>
  <c r="AO193" i="4"/>
  <c r="AO133" i="4"/>
  <c r="AO138" i="4"/>
  <c r="AO194" i="4"/>
  <c r="AO199" i="4"/>
  <c r="AO198" i="4"/>
  <c r="AO202" i="4"/>
  <c r="AO200" i="4"/>
  <c r="AO201" i="4"/>
  <c r="AO203" i="4"/>
  <c r="AO128" i="4"/>
  <c r="AO126" i="4"/>
  <c r="AO192" i="4"/>
  <c r="AO180" i="4"/>
  <c r="AO143" i="4"/>
  <c r="AO183" i="4"/>
  <c r="AO167" i="4"/>
  <c r="AO191" i="4"/>
  <c r="AO150" i="4"/>
  <c r="AO189" i="4"/>
  <c r="AO166" i="4"/>
  <c r="AO153" i="4"/>
  <c r="AO125" i="4"/>
  <c r="AO146" i="4"/>
  <c r="AO190" i="4"/>
  <c r="AO154" i="4"/>
  <c r="AO178" i="4"/>
  <c r="AO196" i="4"/>
  <c r="AO168" i="4"/>
  <c r="AO134" i="4"/>
  <c r="AO139" i="4"/>
  <c r="AO132" i="4"/>
  <c r="AO187" i="4"/>
  <c r="AO136" i="4"/>
  <c r="AO130" i="4"/>
  <c r="AO131" i="4"/>
  <c r="AO123" i="4"/>
  <c r="AO174" i="4"/>
  <c r="AO195" i="4"/>
  <c r="AO184" i="4"/>
  <c r="AO173" i="4"/>
  <c r="AO121" i="4"/>
  <c r="AO185" i="4"/>
  <c r="AO176" i="4"/>
  <c r="AO147" i="4"/>
  <c r="AO145" i="4"/>
  <c r="AO177" i="4"/>
  <c r="AO127" i="4"/>
  <c r="AO172" i="4"/>
  <c r="AO197" i="4"/>
  <c r="AO186" i="4"/>
  <c r="AO142" i="4"/>
  <c r="AO120" i="4"/>
  <c r="AO155" i="4"/>
  <c r="AO148" i="4"/>
  <c r="AO151" i="4"/>
  <c r="AO141" i="4"/>
  <c r="AO122" i="4"/>
  <c r="AO181" i="4"/>
  <c r="AO140" i="4"/>
  <c r="AO144" i="4"/>
  <c r="AO129" i="4"/>
  <c r="AO170" i="4"/>
  <c r="AO175" i="4"/>
  <c r="AO171" i="4"/>
  <c r="AO135" i="4"/>
  <c r="AO179" i="4"/>
  <c r="AO149" i="4"/>
  <c r="AO188" i="4"/>
  <c r="AO182" i="4"/>
  <c r="AO137" i="4"/>
  <c r="BH87" i="4"/>
  <c r="BH105" i="4" s="1"/>
  <c r="BL87" i="4"/>
  <c r="BL98" i="4" s="1"/>
  <c r="AK118" i="4"/>
  <c r="AM87" i="4"/>
  <c r="AE105" i="4"/>
  <c r="B8" i="10"/>
  <c r="AE6" i="4"/>
  <c r="AT6" i="4"/>
  <c r="O8" i="10"/>
  <c r="B14" i="8"/>
  <c r="B15" i="8"/>
  <c r="B16" i="8"/>
  <c r="B17" i="8"/>
  <c r="B18" i="8"/>
  <c r="BT87" i="4" l="1"/>
  <c r="BT105" i="4"/>
  <c r="BT98" i="4"/>
  <c r="AV6" i="4"/>
  <c r="AV87" i="4" s="1"/>
  <c r="AV105" i="4" s="1"/>
  <c r="AU6" i="4"/>
  <c r="AN105" i="4"/>
  <c r="AM105" i="4"/>
  <c r="AO118" i="4"/>
  <c r="D11" i="59"/>
  <c r="AX6" i="4"/>
  <c r="BU6" i="4"/>
  <c r="D5" i="59"/>
  <c r="H7" i="9"/>
  <c r="D7" i="9" s="1"/>
  <c r="L7" i="9" s="1"/>
  <c r="J15" i="3"/>
  <c r="AZ6" i="4" l="1"/>
  <c r="AZ87" i="4"/>
  <c r="AU87" i="4"/>
  <c r="AY6" i="4"/>
  <c r="B11" i="10"/>
  <c r="AZ105" i="4"/>
  <c r="F5" i="59"/>
  <c r="H5" i="59"/>
  <c r="H11" i="59"/>
  <c r="H25" i="59" s="1"/>
  <c r="F11" i="59"/>
  <c r="F25" i="59" s="1"/>
  <c r="AK112" i="4"/>
  <c r="BT6" i="4"/>
  <c r="AU105" i="4" l="1"/>
  <c r="AY87" i="4"/>
  <c r="BF87" i="4" s="1"/>
  <c r="K11" i="59"/>
  <c r="K5" i="59"/>
  <c r="J14" i="3"/>
  <c r="J13" i="3"/>
  <c r="B13" i="3" s="1"/>
  <c r="B21" i="3" s="1"/>
  <c r="J12" i="3"/>
  <c r="J11" i="3"/>
  <c r="B13" i="10" l="1"/>
  <c r="AY105" i="4"/>
  <c r="J9" i="3"/>
  <c r="B9" i="8"/>
  <c r="B8" i="8"/>
  <c r="B7" i="8"/>
  <c r="F9" i="2"/>
  <c r="F10" i="2"/>
  <c r="F8" i="2"/>
  <c r="A8" i="9"/>
  <c r="A9" i="9"/>
  <c r="A10" i="9"/>
  <c r="A11" i="9"/>
  <c r="A12" i="9"/>
  <c r="A13" i="9"/>
  <c r="A14" i="9"/>
  <c r="A15" i="9"/>
  <c r="A16" i="9"/>
  <c r="A17" i="9"/>
  <c r="A18" i="9"/>
  <c r="A7" i="9"/>
  <c r="H8" i="2" l="1"/>
  <c r="H9" i="2" s="1"/>
  <c r="H10" i="2" s="1"/>
  <c r="H11" i="2" s="1"/>
  <c r="H12" i="2" s="1"/>
  <c r="H13" i="2" s="1"/>
  <c r="H14" i="2" s="1"/>
  <c r="H15" i="2" s="1"/>
  <c r="H16" i="2" s="1"/>
  <c r="H17" i="2" s="1"/>
  <c r="H18" i="2" s="1"/>
  <c r="H19" i="2" s="1"/>
  <c r="J8" i="3"/>
  <c r="J7" i="3"/>
  <c r="J10" i="3"/>
  <c r="E7" i="3" l="1"/>
  <c r="E8" i="3" s="1"/>
  <c r="E9" i="3" s="1"/>
  <c r="E10" i="3" s="1"/>
  <c r="E11" i="3" s="1"/>
  <c r="E12" i="3" s="1"/>
  <c r="E13" i="3" s="1"/>
  <c r="E14" i="3" s="1"/>
  <c r="E15" i="3" s="1"/>
  <c r="E16" i="3" s="1"/>
  <c r="E17" i="3" s="1"/>
  <c r="AF6" i="4"/>
  <c r="A9" i="10"/>
  <c r="K9" i="10" s="1"/>
  <c r="M9" i="10" s="1"/>
  <c r="A10" i="10"/>
  <c r="K10" i="10" s="1"/>
  <c r="M10" i="10" s="1"/>
  <c r="A11" i="10"/>
  <c r="K11" i="10" s="1"/>
  <c r="M11" i="10" s="1"/>
  <c r="A12" i="10"/>
  <c r="K12" i="10" s="1"/>
  <c r="M12" i="10" s="1"/>
  <c r="A13" i="10"/>
  <c r="K13" i="10" s="1"/>
  <c r="M13" i="10" s="1"/>
  <c r="A14" i="10"/>
  <c r="K14" i="10" s="1"/>
  <c r="M14" i="10" s="1"/>
  <c r="A15" i="10"/>
  <c r="K15" i="10" s="1"/>
  <c r="M15" i="10" s="1"/>
  <c r="A16" i="10"/>
  <c r="K16" i="10" s="1"/>
  <c r="M16" i="10" s="1"/>
  <c r="A17" i="10"/>
  <c r="K17" i="10" s="1"/>
  <c r="M17" i="10" s="1"/>
  <c r="A18" i="10"/>
  <c r="K18" i="10" s="1"/>
  <c r="M18" i="10" s="1"/>
  <c r="A19" i="10"/>
  <c r="K19" i="10" s="1"/>
  <c r="M19" i="10" s="1"/>
  <c r="A8" i="10"/>
  <c r="K8" i="10" s="1"/>
  <c r="M8" i="10" s="1"/>
  <c r="A9" i="7"/>
  <c r="A10" i="7"/>
  <c r="A11" i="7"/>
  <c r="A12" i="7"/>
  <c r="A13" i="7"/>
  <c r="A14" i="7"/>
  <c r="A15" i="7"/>
  <c r="A16" i="7"/>
  <c r="A17" i="7"/>
  <c r="A18" i="7"/>
  <c r="A19" i="7"/>
  <c r="A8" i="7"/>
  <c r="A8" i="8"/>
  <c r="A9" i="8"/>
  <c r="A10" i="8"/>
  <c r="A11" i="8"/>
  <c r="A12" i="8"/>
  <c r="A13" i="8"/>
  <c r="A14" i="8"/>
  <c r="A15" i="8"/>
  <c r="A16" i="8"/>
  <c r="A17" i="8"/>
  <c r="A18" i="8"/>
  <c r="A7" i="8"/>
  <c r="A7" i="6"/>
  <c r="I7" i="6" s="1"/>
  <c r="A8" i="6"/>
  <c r="I8" i="6" s="1"/>
  <c r="A9" i="6"/>
  <c r="I9" i="6" s="1"/>
  <c r="A10" i="6"/>
  <c r="I10" i="6" s="1"/>
  <c r="A11" i="6"/>
  <c r="I11" i="6" s="1"/>
  <c r="A12" i="6"/>
  <c r="I12" i="6" s="1"/>
  <c r="A13" i="6"/>
  <c r="I13" i="6" s="1"/>
  <c r="A14" i="6"/>
  <c r="I14" i="6" s="1"/>
  <c r="A15" i="6"/>
  <c r="I15" i="6" s="1"/>
  <c r="A16" i="6"/>
  <c r="I16" i="6" s="1"/>
  <c r="A17" i="6"/>
  <c r="I17" i="6" s="1"/>
  <c r="A6" i="6"/>
  <c r="I6" i="6" s="1"/>
  <c r="A7" i="3"/>
  <c r="M7" i="3" s="1"/>
  <c r="A13" i="3"/>
  <c r="M13" i="3" s="1"/>
  <c r="A14" i="3"/>
  <c r="M14" i="3" s="1"/>
  <c r="A15" i="3"/>
  <c r="M15" i="3" s="1"/>
  <c r="A16" i="3"/>
  <c r="M16" i="3" s="1"/>
  <c r="A17" i="3"/>
  <c r="M17" i="3" s="1"/>
  <c r="A18" i="3"/>
  <c r="M18" i="3" s="1"/>
  <c r="A12" i="3"/>
  <c r="M12" i="3" s="1"/>
  <c r="A11" i="3"/>
  <c r="M11" i="3" s="1"/>
  <c r="A10" i="3"/>
  <c r="M10" i="3" s="1"/>
  <c r="A9" i="3"/>
  <c r="M9" i="3" s="1"/>
  <c r="A8" i="3"/>
  <c r="M8" i="3" s="1"/>
  <c r="L9" i="2"/>
  <c r="O9" i="2" s="1"/>
  <c r="A8" i="2"/>
  <c r="K8" i="2" s="1"/>
  <c r="A9" i="2"/>
  <c r="K9" i="2" s="1"/>
  <c r="A10" i="2"/>
  <c r="K10" i="2" s="1"/>
  <c r="A11" i="2"/>
  <c r="K11" i="2" s="1"/>
  <c r="A12" i="2"/>
  <c r="K12" i="2" s="1"/>
  <c r="A13" i="2"/>
  <c r="K13" i="2" s="1"/>
  <c r="A14" i="2"/>
  <c r="K14" i="2" s="1"/>
  <c r="A15" i="2"/>
  <c r="K15" i="2" s="1"/>
  <c r="A16" i="2"/>
  <c r="K16" i="2" s="1"/>
  <c r="A17" i="2"/>
  <c r="K17" i="2" s="1"/>
  <c r="A18" i="2"/>
  <c r="K18" i="2" s="1"/>
  <c r="A19" i="2"/>
  <c r="K19" i="2" s="1"/>
  <c r="D6" i="59"/>
  <c r="F9" i="7"/>
  <c r="F10" i="7"/>
  <c r="F14" i="7"/>
  <c r="F15" i="7"/>
  <c r="F16" i="7"/>
  <c r="F17" i="7"/>
  <c r="F18" i="7"/>
  <c r="F19" i="7"/>
  <c r="F8" i="7"/>
  <c r="B10" i="8"/>
  <c r="B11" i="8"/>
  <c r="B13" i="8"/>
  <c r="E7" i="8"/>
  <c r="E8" i="8" s="1"/>
  <c r="E9" i="8" s="1"/>
  <c r="N8" i="3"/>
  <c r="H6" i="59" l="1"/>
  <c r="F6" i="59"/>
  <c r="D8" i="59"/>
  <c r="D7" i="59"/>
  <c r="D18" i="59" s="1"/>
  <c r="D10" i="59"/>
  <c r="D9" i="59"/>
  <c r="E10" i="8"/>
  <c r="E11" i="8" s="1"/>
  <c r="E12" i="8" s="1"/>
  <c r="E13" i="8" s="1"/>
  <c r="E14" i="8" s="1"/>
  <c r="E15" i="8" s="1"/>
  <c r="E16" i="8" s="1"/>
  <c r="E17" i="8" s="1"/>
  <c r="E18" i="8" s="1"/>
  <c r="Q8" i="3"/>
  <c r="N9" i="3" s="1"/>
  <c r="Q9" i="3" s="1"/>
  <c r="N10" i="3" s="1"/>
  <c r="L10" i="2"/>
  <c r="O10" i="2" s="1"/>
  <c r="H12" i="9"/>
  <c r="D12" i="9" s="1"/>
  <c r="H10" i="9"/>
  <c r="D10" i="9" s="1"/>
  <c r="G16" i="7"/>
  <c r="B16" i="7" s="1"/>
  <c r="E6" i="6"/>
  <c r="H16" i="9"/>
  <c r="D16" i="9" s="1"/>
  <c r="H17" i="9"/>
  <c r="D17" i="9" s="1"/>
  <c r="H13" i="9"/>
  <c r="D13" i="9" s="1"/>
  <c r="H18" i="9"/>
  <c r="D18" i="9" s="1"/>
  <c r="C7" i="3"/>
  <c r="C8" i="2"/>
  <c r="G18" i="7"/>
  <c r="B18" i="7" s="1"/>
  <c r="G19" i="7"/>
  <c r="B19" i="7" s="1"/>
  <c r="H11" i="9"/>
  <c r="D11" i="9" s="1"/>
  <c r="G15" i="7"/>
  <c r="B15" i="7" s="1"/>
  <c r="G17" i="7"/>
  <c r="B17" i="7" s="1"/>
  <c r="B13" i="7"/>
  <c r="B11" i="7"/>
  <c r="B12" i="7"/>
  <c r="E14" i="6"/>
  <c r="E10" i="6"/>
  <c r="H15" i="9"/>
  <c r="D15" i="9" s="1"/>
  <c r="G9" i="7"/>
  <c r="B9" i="7" s="1"/>
  <c r="E15" i="6"/>
  <c r="E11" i="6"/>
  <c r="E7" i="6"/>
  <c r="G14" i="7"/>
  <c r="B14" i="7" s="1"/>
  <c r="E16" i="6"/>
  <c r="E12" i="6"/>
  <c r="E8" i="6"/>
  <c r="E17" i="6"/>
  <c r="E13" i="6"/>
  <c r="E9" i="6"/>
  <c r="H9" i="9"/>
  <c r="D9" i="9" s="1"/>
  <c r="H8" i="9"/>
  <c r="D8" i="9" s="1"/>
  <c r="H8" i="10"/>
  <c r="H9" i="10" s="1"/>
  <c r="H10" i="10" s="1"/>
  <c r="H11" i="10" s="1"/>
  <c r="H12" i="10" s="1"/>
  <c r="H13" i="10" s="1"/>
  <c r="H14" i="10" s="1"/>
  <c r="G8" i="7"/>
  <c r="B8" i="7" s="1"/>
  <c r="G10" i="7"/>
  <c r="B10" i="7" s="1"/>
  <c r="D8" i="2" l="1"/>
  <c r="I8" i="2"/>
  <c r="C10" i="2"/>
  <c r="D10" i="2" s="1"/>
  <c r="F7" i="3"/>
  <c r="D7" i="3"/>
  <c r="K6" i="59"/>
  <c r="H9" i="59"/>
  <c r="F9" i="59"/>
  <c r="F7" i="59"/>
  <c r="H7" i="59"/>
  <c r="F10" i="59"/>
  <c r="H10" i="59"/>
  <c r="D19" i="59"/>
  <c r="F8" i="59"/>
  <c r="H8" i="59"/>
  <c r="F18" i="59"/>
  <c r="H18" i="59"/>
  <c r="H29" i="59" s="1"/>
  <c r="L8" i="9"/>
  <c r="L9" i="9" s="1"/>
  <c r="C8" i="3"/>
  <c r="C9" i="3"/>
  <c r="D9" i="3" s="1"/>
  <c r="Q10" i="3"/>
  <c r="C10" i="3" s="1"/>
  <c r="D10" i="3" s="1"/>
  <c r="C9" i="2"/>
  <c r="D9" i="2" s="1"/>
  <c r="L11" i="2"/>
  <c r="O11" i="2" s="1"/>
  <c r="D4" i="13" l="1"/>
  <c r="B4" i="13"/>
  <c r="D6" i="13"/>
  <c r="F8" i="3"/>
  <c r="F9" i="3" s="1"/>
  <c r="F10" i="3" s="1"/>
  <c r="D8" i="3"/>
  <c r="B6" i="13"/>
  <c r="K27" i="59"/>
  <c r="K8" i="59"/>
  <c r="K10" i="59"/>
  <c r="F19" i="59"/>
  <c r="H19" i="59"/>
  <c r="K7" i="59"/>
  <c r="F29" i="59"/>
  <c r="K18" i="59"/>
  <c r="K9" i="59"/>
  <c r="I9" i="2"/>
  <c r="I10" i="2" s="1"/>
  <c r="N11" i="3"/>
  <c r="C11" i="2"/>
  <c r="D11" i="2" s="1"/>
  <c r="H30" i="59" l="1"/>
  <c r="K25" i="59"/>
  <c r="K29" i="59"/>
  <c r="K19" i="59"/>
  <c r="F30" i="59"/>
  <c r="I11" i="2"/>
  <c r="Q11" i="3"/>
  <c r="C11" i="3" s="1"/>
  <c r="D11" i="3" s="1"/>
  <c r="L12" i="2"/>
  <c r="O12" i="2" s="1"/>
  <c r="K30" i="59" l="1"/>
  <c r="F11" i="3"/>
  <c r="N12" i="3"/>
  <c r="C12" i="2"/>
  <c r="J8" i="9"/>
  <c r="J9" i="9" s="1"/>
  <c r="D12" i="2" l="1"/>
  <c r="I12" i="2"/>
  <c r="Q12" i="3"/>
  <c r="C12" i="3" s="1"/>
  <c r="D12" i="3" s="1"/>
  <c r="L13" i="2"/>
  <c r="O13" i="2" s="1"/>
  <c r="F12" i="3" l="1"/>
  <c r="J10" i="9"/>
  <c r="N13" i="3"/>
  <c r="C13" i="2"/>
  <c r="D13" i="2" l="1"/>
  <c r="C21" i="2"/>
  <c r="J11" i="9"/>
  <c r="I13" i="2"/>
  <c r="Q13" i="3"/>
  <c r="C13" i="3" s="1"/>
  <c r="L14" i="2"/>
  <c r="O14" i="2" s="1"/>
  <c r="F13" i="3" l="1"/>
  <c r="D13" i="3"/>
  <c r="L10" i="9"/>
  <c r="J12" i="9"/>
  <c r="N14" i="3"/>
  <c r="C14" i="2"/>
  <c r="D14" i="2" l="1"/>
  <c r="D21" i="2" s="1"/>
  <c r="C22" i="2"/>
  <c r="L11" i="9"/>
  <c r="J13" i="9"/>
  <c r="I14" i="2"/>
  <c r="Q14" i="3"/>
  <c r="C14" i="3" s="1"/>
  <c r="L15" i="2"/>
  <c r="O15" i="2" s="1"/>
  <c r="D20" i="2" l="1"/>
  <c r="F14" i="3"/>
  <c r="D14" i="3"/>
  <c r="L12" i="9"/>
  <c r="J14" i="9"/>
  <c r="J15" i="9" s="1"/>
  <c r="J16" i="9" s="1"/>
  <c r="J17" i="9" s="1"/>
  <c r="J18" i="9" s="1"/>
  <c r="N15" i="3"/>
  <c r="C15" i="2" l="1"/>
  <c r="J25" i="2"/>
  <c r="J26" i="2" s="1"/>
  <c r="J27" i="2" s="1"/>
  <c r="J28" i="2" s="1"/>
  <c r="J29" i="2" s="1"/>
  <c r="J30" i="2" s="1"/>
  <c r="J31" i="2" s="1"/>
  <c r="J32" i="2" s="1"/>
  <c r="J33" i="2" s="1"/>
  <c r="J34" i="2" s="1"/>
  <c r="J35" i="2" s="1"/>
  <c r="J36" i="2" s="1"/>
  <c r="J37" i="2" s="1"/>
  <c r="J38" i="2" s="1"/>
  <c r="J39" i="2" s="1"/>
  <c r="J40" i="2" s="1"/>
  <c r="J41" i="2" s="1"/>
  <c r="J42" i="2" s="1"/>
  <c r="J43" i="2" s="1"/>
  <c r="J44" i="2" s="1"/>
  <c r="J45" i="2" s="1"/>
  <c r="J46" i="2" s="1"/>
  <c r="J47" i="2" s="1"/>
  <c r="J48" i="2" s="1"/>
  <c r="J49" i="2" s="1"/>
  <c r="J50" i="2" s="1"/>
  <c r="J51" i="2" s="1"/>
  <c r="J52" i="2" s="1"/>
  <c r="J53" i="2" s="1"/>
  <c r="J54" i="2" s="1"/>
  <c r="L13" i="9"/>
  <c r="Q15" i="3"/>
  <c r="C15" i="3" s="1"/>
  <c r="C21" i="3" s="1"/>
  <c r="L16" i="2"/>
  <c r="O16" i="2" s="1"/>
  <c r="I15" i="2" l="1"/>
  <c r="C23" i="2"/>
  <c r="F15" i="3"/>
  <c r="D15" i="3"/>
  <c r="N16" i="3"/>
  <c r="C16" i="2"/>
  <c r="C24" i="2" l="1"/>
  <c r="I16" i="2"/>
  <c r="Q16" i="3"/>
  <c r="C16" i="3" s="1"/>
  <c r="D16" i="3" s="1"/>
  <c r="L17" i="2"/>
  <c r="O17" i="2" s="1"/>
  <c r="F16" i="3" l="1"/>
  <c r="N17" i="3"/>
  <c r="C17" i="2" l="1"/>
  <c r="Q17" i="3"/>
  <c r="C17" i="3" s="1"/>
  <c r="L18" i="2"/>
  <c r="O18" i="2" s="1"/>
  <c r="I17" i="2" l="1"/>
  <c r="C25" i="2"/>
  <c r="F17" i="3"/>
  <c r="D17" i="3"/>
  <c r="N18" i="3"/>
  <c r="C18" i="2" l="1"/>
  <c r="I18" i="2" s="1"/>
  <c r="Q18" i="3"/>
  <c r="C18" i="3" s="1"/>
  <c r="F18" i="3" s="1"/>
  <c r="L19" i="2"/>
  <c r="O19" i="2" s="1"/>
  <c r="C19" i="2" l="1"/>
  <c r="I19" i="2" s="1"/>
  <c r="D12" i="59" l="1"/>
  <c r="H14" i="9"/>
  <c r="D14" i="9" s="1"/>
  <c r="L14" i="9" s="1"/>
  <c r="L15" i="9" s="1"/>
  <c r="L16" i="9" s="1"/>
  <c r="L17" i="9" s="1"/>
  <c r="L18" i="9" s="1"/>
  <c r="H15" i="10"/>
  <c r="H16" i="10" s="1"/>
  <c r="H17" i="10" s="1"/>
  <c r="H18" i="10" s="1"/>
  <c r="H19" i="10" s="1"/>
  <c r="D20" i="59" l="1"/>
  <c r="F20" i="59" s="1"/>
  <c r="H12" i="59"/>
  <c r="H26" i="59" s="1"/>
  <c r="H34" i="59" s="1"/>
  <c r="F12" i="59"/>
  <c r="F26" i="59" s="1"/>
  <c r="F34" i="59" s="1"/>
  <c r="B8" i="13" l="1"/>
  <c r="F31" i="59"/>
  <c r="D5" i="13"/>
  <c r="B5" i="13"/>
  <c r="K26" i="59"/>
  <c r="K12" i="59"/>
  <c r="H20" i="59"/>
  <c r="H31" i="59" l="1"/>
  <c r="D8" i="13"/>
  <c r="D15" i="13" s="1"/>
  <c r="K20" i="59"/>
  <c r="K31" i="59" l="1"/>
  <c r="C15" i="13"/>
  <c r="H18" i="3"/>
  <c r="J18" i="3"/>
  <c r="E18" i="3" l="1"/>
  <c r="D18" i="3"/>
</calcChain>
</file>

<file path=xl/comments1.xml><?xml version="1.0" encoding="utf-8"?>
<comments xmlns="http://schemas.openxmlformats.org/spreadsheetml/2006/main">
  <authors>
    <author>Scott Nelsen - QB</author>
  </authors>
  <commentList>
    <comment ref="O7" authorId="0" shapeId="0">
      <text>
        <r>
          <rPr>
            <b/>
            <sz val="9"/>
            <color indexed="81"/>
            <rFont val="Tahoma"/>
            <family val="2"/>
          </rPr>
          <t>Scott Nelsen - QB:</t>
        </r>
        <r>
          <rPr>
            <sz val="9"/>
            <color indexed="81"/>
            <rFont val="Tahoma"/>
            <family val="2"/>
          </rPr>
          <t xml:space="preserve">
This was the amount QGC projected would be in Clay on June 1, 2016.</t>
        </r>
      </text>
    </comment>
  </commentList>
</comments>
</file>

<file path=xl/comments2.xml><?xml version="1.0" encoding="utf-8"?>
<comments xmlns="http://schemas.openxmlformats.org/spreadsheetml/2006/main">
  <authors>
    <author>Scott Nelsen - QB</author>
  </authors>
  <commentList>
    <comment ref="C4" authorId="0" shapeId="0">
      <text>
        <r>
          <rPr>
            <b/>
            <sz val="9"/>
            <color indexed="81"/>
            <rFont val="Tahoma"/>
            <family val="2"/>
          </rPr>
          <t>Scott Nelsen - QB:</t>
        </r>
        <r>
          <rPr>
            <sz val="9"/>
            <color indexed="81"/>
            <rFont val="Tahoma"/>
            <family val="2"/>
          </rPr>
          <t xml:space="preserve">
This is my area/class number reduced by an interruptible factor.</t>
        </r>
      </text>
    </comment>
  </commentList>
</comments>
</file>

<file path=xl/comments3.xml><?xml version="1.0" encoding="utf-8"?>
<comments xmlns="http://schemas.openxmlformats.org/spreadsheetml/2006/main">
  <authors>
    <author>02330</author>
  </authors>
  <commentList>
    <comment ref="A3" authorId="0" shapeId="0">
      <text>
        <r>
          <rPr>
            <b/>
            <sz val="8"/>
            <color indexed="81"/>
            <rFont val="Tahoma"/>
            <family val="2"/>
          </rPr>
          <t>02330:</t>
        </r>
        <r>
          <rPr>
            <sz val="8"/>
            <color indexed="81"/>
            <rFont val="Tahoma"/>
            <family val="2"/>
          </rPr>
          <t xml:space="preserve">
This page is linked to Purchase Gas which ultimately comes from Leslie's spreadsheet.</t>
        </r>
      </text>
    </comment>
  </commentList>
</comments>
</file>

<file path=xl/comments4.xml><?xml version="1.0" encoding="utf-8"?>
<comments xmlns="http://schemas.openxmlformats.org/spreadsheetml/2006/main">
  <authors>
    <author>02330</author>
  </authors>
  <commentList>
    <comment ref="A3" authorId="0" shapeId="0">
      <text>
        <r>
          <rPr>
            <b/>
            <sz val="8"/>
            <color indexed="81"/>
            <rFont val="Tahoma"/>
            <family val="2"/>
          </rPr>
          <t>02330:</t>
        </r>
        <r>
          <rPr>
            <sz val="8"/>
            <color indexed="81"/>
            <rFont val="Tahoma"/>
            <family val="2"/>
          </rPr>
          <t xml:space="preserve">
Be Careful of double counting.  
Check the Master file for duplicates.
Be Careful of missing items.  Compare Ras's file against the Master file to make sure that Ras's file doesn't have items that are not contained in the Master lookup.</t>
        </r>
      </text>
    </comment>
  </commentList>
</comments>
</file>

<file path=xl/comments5.xml><?xml version="1.0" encoding="utf-8"?>
<comments xmlns="http://schemas.openxmlformats.org/spreadsheetml/2006/main">
  <authors>
    <author>02330</author>
    <author>Scott Nelsen - QB</author>
  </authors>
  <commentList>
    <comment ref="D2" authorId="0" shapeId="0">
      <text>
        <r>
          <rPr>
            <b/>
            <sz val="8"/>
            <color indexed="81"/>
            <rFont val="Tahoma"/>
            <family val="2"/>
          </rPr>
          <t>02330:</t>
        </r>
        <r>
          <rPr>
            <sz val="8"/>
            <color indexed="81"/>
            <rFont val="Tahoma"/>
            <family val="2"/>
          </rPr>
          <t xml:space="preserve">
There are several object id's that give this number but at the end of the day, 
these numbers, 
planyear 1 and 
the supply requirment spreadsheet 
must match up.</t>
        </r>
      </text>
    </comment>
    <comment ref="A109" authorId="1" shapeId="0">
      <text>
        <r>
          <rPr>
            <b/>
            <sz val="9"/>
            <color indexed="81"/>
            <rFont val="Tahoma"/>
            <family val="2"/>
          </rPr>
          <t>Scott Nelsen - QB:</t>
        </r>
        <r>
          <rPr>
            <sz val="9"/>
            <color indexed="81"/>
            <rFont val="Tahoma"/>
            <family val="2"/>
          </rPr>
          <t xml:space="preserve">
This is the total possible production from SendOut.  I.e. before the model runs.
</t>
        </r>
      </text>
    </comment>
  </commentList>
</comments>
</file>

<file path=xl/comments6.xml><?xml version="1.0" encoding="utf-8"?>
<comments xmlns="http://schemas.openxmlformats.org/spreadsheetml/2006/main">
  <authors>
    <author>Scott Nelsen - QB</author>
  </authors>
  <commentList>
    <comment ref="A2" authorId="0" shapeId="0">
      <text>
        <r>
          <rPr>
            <b/>
            <sz val="9"/>
            <color indexed="81"/>
            <rFont val="Tahoma"/>
            <family val="2"/>
          </rPr>
          <t>Scott Nelsen - QB:</t>
        </r>
        <r>
          <rPr>
            <sz val="9"/>
            <color indexed="81"/>
            <rFont val="Tahoma"/>
            <family val="2"/>
          </rPr>
          <t xml:space="preserve">
Summer estimates for Shut-in are from section 6 Cost-of-Service in the IRP.
I'm not sure about estimating Shut-in for other months. Actually it shouldn't be an issue because the winter months seem to usually be at 100% production.</t>
        </r>
      </text>
    </comment>
  </commentList>
</comments>
</file>

<file path=xl/sharedStrings.xml><?xml version="1.0" encoding="utf-8"?>
<sst xmlns="http://schemas.openxmlformats.org/spreadsheetml/2006/main" count="1314" uniqueCount="303">
  <si>
    <t>Month/Year</t>
  </si>
  <si>
    <t>Actual</t>
  </si>
  <si>
    <t>Normal</t>
  </si>
  <si>
    <t>Heating Degree Days</t>
  </si>
  <si>
    <t>IRP</t>
  </si>
  <si>
    <t>Source: Base Case, Report 05 Storage Summary</t>
  </si>
  <si>
    <t>Total Aquifer Storage Ending Inventory (MDths)</t>
  </si>
  <si>
    <t>Clay Basin Ending Inventory (MDths)</t>
  </si>
  <si>
    <t>MCF</t>
  </si>
  <si>
    <t>DTH</t>
  </si>
  <si>
    <t>MDTH</t>
  </si>
  <si>
    <t>Purchase Gas Variance (Brady Included) MDths</t>
  </si>
  <si>
    <t>Total</t>
  </si>
  <si>
    <t>Purchase Gas Cost Variance ($1,000's)</t>
  </si>
  <si>
    <t>Cost</t>
  </si>
  <si>
    <t>$/Dth</t>
  </si>
  <si>
    <t>Cumulative</t>
  </si>
  <si>
    <t>Isolated New Drill Component (MDths)</t>
  </si>
  <si>
    <t>Company Nom Groups</t>
  </si>
  <si>
    <t>Withdrawn Gross Volume (MDths)</t>
  </si>
  <si>
    <t>DTHS</t>
  </si>
  <si>
    <t>MDTHS</t>
  </si>
  <si>
    <t>$'S</t>
  </si>
  <si>
    <t>$1,000'S</t>
  </si>
  <si>
    <t>Source: IRP Base Case, Monthly Custom Report Writer</t>
  </si>
  <si>
    <t>Month</t>
  </si>
  <si>
    <t>1st Qtr</t>
  </si>
  <si>
    <t>2nd Qtr</t>
  </si>
  <si>
    <t>3rd Qtr</t>
  </si>
  <si>
    <t>Source: J:\data\plan\public\p2007\Variance\Plan_07_08\Purchase\07_08.xls (from Leslie)</t>
  </si>
  <si>
    <t>IRP Purchase</t>
  </si>
  <si>
    <t>Actual Purchase</t>
  </si>
  <si>
    <t>IRP Company</t>
  </si>
  <si>
    <t>Actual Company</t>
  </si>
  <si>
    <t>Cost-of-Service Gas Variance (MDths)</t>
  </si>
  <si>
    <t>4th Qtr</t>
  </si>
  <si>
    <t>Q4</t>
  </si>
  <si>
    <t>Acutal and normal data can both be found on this site.</t>
  </si>
  <si>
    <t>Dth</t>
  </si>
  <si>
    <t>Source:  The whole numbers come from Purchase Gas and Company Owned Gas sheets.  The percentages are then calculated from those numbers.</t>
  </si>
  <si>
    <t>IRP Purchase Mdth</t>
  </si>
  <si>
    <t>IRP Purchase Percent</t>
  </si>
  <si>
    <t>IRP Company Mdths</t>
  </si>
  <si>
    <t>IRP Company Percent</t>
  </si>
  <si>
    <t>Actual Purchase Mdth</t>
  </si>
  <si>
    <t>Actual Purchase Percent</t>
  </si>
  <si>
    <t>Actual Company Mdth</t>
  </si>
  <si>
    <t>Actual Company Percent</t>
  </si>
  <si>
    <t>Q1</t>
  </si>
  <si>
    <t>Q2</t>
  </si>
  <si>
    <t>Q3</t>
  </si>
  <si>
    <t>LEUCITE PC</t>
  </si>
  <si>
    <t>Source: Purchase Gas Variance Framework.sas</t>
  </si>
  <si>
    <t>Source: Purchase Gas Var Frame.SAS  Item 1061</t>
  </si>
  <si>
    <t>Inj</t>
  </si>
  <si>
    <t>With</t>
  </si>
  <si>
    <t>Source: Using SAS, Lookup Ras's Sales by Month and cross reference it with WellId Nomgroup.  Don't include non-modeled nom groups.   This number will include ND.  When asking Brady for Data, ask for the Quarter Sales numbers and the Quarter New Drill.</t>
  </si>
  <si>
    <t>Nomination Group</t>
  </si>
  <si>
    <t>Variance   Mdth</t>
  </si>
  <si>
    <t xml:space="preserve">Actual </t>
  </si>
  <si>
    <t>Check Should = 100%</t>
  </si>
  <si>
    <t>Purchase Gas Unit Cost Variance ($1,000's)</t>
  </si>
  <si>
    <t>Actual/1000</t>
  </si>
  <si>
    <t>Actual Source: Bill's Clay Basin Monthly Report</t>
  </si>
  <si>
    <t>Actual Source: Reservoir Engineering Intranet Report (userid = group2, password = rippleeffect)</t>
  </si>
  <si>
    <t>Source: Base Case, New Drill from 1 year plan i.e. New Drill from COSg for Base Case</t>
  </si>
  <si>
    <t>Actual Purchase as Percent of Total</t>
  </si>
  <si>
    <t>Actual Cost-of-Service as Percent of Total</t>
  </si>
  <si>
    <t>First Quarter Cost-of-Service</t>
  </si>
  <si>
    <t>Questar Gas Company</t>
  </si>
  <si>
    <t>QGC Variance Exhibit</t>
  </si>
  <si>
    <t>Source: Use data from cdxr01</t>
  </si>
  <si>
    <t>IRP Source: Base Case.  Variance Framework Plan year one</t>
  </si>
  <si>
    <t>Docket</t>
  </si>
  <si>
    <t>The Base Case</t>
  </si>
  <si>
    <t>Source: Note how the $/dth is calculated as data from other Exhibits</t>
  </si>
  <si>
    <t>Used Zundel HDD Storage Var Frame BaseCase 2012.sas</t>
  </si>
  <si>
    <t>Source: Plan Year One…Includes all Spot</t>
  </si>
  <si>
    <t>chalk</t>
  </si>
  <si>
    <t>coal</t>
  </si>
  <si>
    <t>leroy</t>
  </si>
  <si>
    <t>ACEJD D24</t>
  </si>
  <si>
    <t>ACEJD PC</t>
  </si>
  <si>
    <t>BRFM D24</t>
  </si>
  <si>
    <t>BRFQ D24</t>
  </si>
  <si>
    <t>BRFQ PC</t>
  </si>
  <si>
    <t>BRFQMT D24</t>
  </si>
  <si>
    <t>BRFW D24</t>
  </si>
  <si>
    <t>BRFW PC</t>
  </si>
  <si>
    <t>CBFR D24</t>
  </si>
  <si>
    <t>CBFR PC</t>
  </si>
  <si>
    <t>CCRUNIT D24</t>
  </si>
  <si>
    <t>CCRUNIT PC</t>
  </si>
  <si>
    <t>CHBTBUFF D24</t>
  </si>
  <si>
    <t>CHBTCAT1 D24</t>
  </si>
  <si>
    <t>CHBTCAT1 PC</t>
  </si>
  <si>
    <t>CHBTCAT2 D24</t>
  </si>
  <si>
    <t>CHBTCAT2 PC</t>
  </si>
  <si>
    <t>CHBTCAT3 D24</t>
  </si>
  <si>
    <t>DRYPINY6 D24</t>
  </si>
  <si>
    <t>DRYPINY6 PC</t>
  </si>
  <si>
    <t>DRYPINYU D24</t>
  </si>
  <si>
    <t>DRYPINYU PC</t>
  </si>
  <si>
    <t>DRYPINYU PW</t>
  </si>
  <si>
    <t>FOGARTY PC</t>
  </si>
  <si>
    <t>HWA DEEP D24</t>
  </si>
  <si>
    <t>HWA DEEP PC</t>
  </si>
  <si>
    <t>HWPLT1&amp;3 D24</t>
  </si>
  <si>
    <t>HWPLT1&amp;3 PC</t>
  </si>
  <si>
    <t>HWPLT2 D24</t>
  </si>
  <si>
    <t>HWPLT2 PC</t>
  </si>
  <si>
    <t>ISLAND D24</t>
  </si>
  <si>
    <t>ISLAND PC</t>
  </si>
  <si>
    <t>JNSNRDG D24</t>
  </si>
  <si>
    <t>JNSNRDG PC</t>
  </si>
  <si>
    <t>JRDG WFS D24</t>
  </si>
  <si>
    <t>KNY FLD PC</t>
  </si>
  <si>
    <t>LEUCITE D24</t>
  </si>
  <si>
    <t>MDBXCOMP PC</t>
  </si>
  <si>
    <t>MESA D24</t>
  </si>
  <si>
    <t>MOSU PW</t>
  </si>
  <si>
    <t>NBXCAMP PC</t>
  </si>
  <si>
    <t>NOBXFLD PC</t>
  </si>
  <si>
    <t>PDW1A1B D24</t>
  </si>
  <si>
    <t>PDW1A1B PC</t>
  </si>
  <si>
    <t>PDWCUT D24</t>
  </si>
  <si>
    <t>PDWCUT PC</t>
  </si>
  <si>
    <t>PDWMT D24</t>
  </si>
  <si>
    <t>PDWPLT2 D24</t>
  </si>
  <si>
    <t>PDWPLT2 PC</t>
  </si>
  <si>
    <t>PDWPLT3 D24</t>
  </si>
  <si>
    <t>PDWPLT3 PC</t>
  </si>
  <si>
    <t>RBTMTN D24</t>
  </si>
  <si>
    <t>RBTMTN PC</t>
  </si>
  <si>
    <t>SGRLF D24</t>
  </si>
  <si>
    <t>SGRLF PC</t>
  </si>
  <si>
    <t>TRAIL D24</t>
  </si>
  <si>
    <t>TRAIL PC</t>
  </si>
  <si>
    <t>WHLA D24</t>
  </si>
  <si>
    <t>WHLA PC</t>
  </si>
  <si>
    <t>WWILSON D24</t>
  </si>
  <si>
    <t>WWILSON PC</t>
  </si>
  <si>
    <t>PDW1A1B D21</t>
  </si>
  <si>
    <t>Prod Actual</t>
  </si>
  <si>
    <t>Prod Normal</t>
  </si>
  <si>
    <t>Legacy Actual</t>
  </si>
  <si>
    <t>Normal Purchase Mdth</t>
  </si>
  <si>
    <t>Normal Company Mdths</t>
  </si>
  <si>
    <t>Normal Purchase as Percent of Total</t>
  </si>
  <si>
    <t>Normal Cost-of-Service as Percent of Total</t>
  </si>
  <si>
    <t>Dthms</t>
  </si>
  <si>
    <t>Dthms/Day</t>
  </si>
  <si>
    <t>ACEJDMT D24</t>
  </si>
  <si>
    <t>BIRCH CREEK</t>
  </si>
  <si>
    <t>BRFQMT PC</t>
  </si>
  <si>
    <t>CCRUNITMT PC</t>
  </si>
  <si>
    <t>CCRUNITMTD24</t>
  </si>
  <si>
    <t>HWPL1&amp;3MTD24</t>
  </si>
  <si>
    <t>KNY FLDMTD24</t>
  </si>
  <si>
    <t>MOSUMT D24</t>
  </si>
  <si>
    <t>MOSUMT PC</t>
  </si>
  <si>
    <t>RBTMTNMT D24</t>
  </si>
  <si>
    <t>RBTMTNMT PC</t>
  </si>
  <si>
    <t>SGRLFMT D24</t>
  </si>
  <si>
    <t>TRAILMT D24</t>
  </si>
  <si>
    <t>Legacy Total</t>
  </si>
  <si>
    <t>Actual $/Dth</t>
  </si>
  <si>
    <t>Normal $/Dth</t>
  </si>
  <si>
    <t>nomgroup</t>
  </si>
  <si>
    <t>month_tot</t>
  </si>
  <si>
    <t>BRFM PC</t>
  </si>
  <si>
    <t>June</t>
  </si>
  <si>
    <t>July</t>
  </si>
  <si>
    <t>August</t>
  </si>
  <si>
    <t>Days in Mo.</t>
  </si>
  <si>
    <t>September</t>
  </si>
  <si>
    <t>October</t>
  </si>
  <si>
    <t>November</t>
  </si>
  <si>
    <t>December</t>
  </si>
  <si>
    <t>Second</t>
  </si>
  <si>
    <t>First</t>
  </si>
  <si>
    <t>ACEJDMT PC</t>
  </si>
  <si>
    <t>CHBTC1 MT PC</t>
  </si>
  <si>
    <t>PDWMT PC</t>
  </si>
  <si>
    <t>TRAIL 2E</t>
  </si>
  <si>
    <t>MESA PC</t>
  </si>
  <si>
    <t>z15 KNY D24</t>
  </si>
  <si>
    <t>z16 PNDL D24</t>
  </si>
  <si>
    <t>IRP Source: Base Case.  Variance Framework Planyear one.  From normal Passthru numbers</t>
  </si>
  <si>
    <t>Per day</t>
  </si>
  <si>
    <t>IRP Demand</t>
  </si>
  <si>
    <t>Days</t>
  </si>
  <si>
    <t>Daily Demand</t>
  </si>
  <si>
    <t>150914 Actual Mean HDD Temp.sas</t>
  </si>
  <si>
    <t>value_06</t>
  </si>
  <si>
    <t>HWADEEPMTD24</t>
  </si>
  <si>
    <t>HWPL1&amp;3MTPC</t>
  </si>
  <si>
    <t>HWPLT2MT D24</t>
  </si>
  <si>
    <t>KNY FLD D24</t>
  </si>
  <si>
    <t>value_07</t>
  </si>
  <si>
    <t>value_08</t>
  </si>
  <si>
    <t>Full Production</t>
  </si>
  <si>
    <t>Shut-in Est. Month</t>
  </si>
  <si>
    <t>Shut-in Daily</t>
  </si>
  <si>
    <t>Docket No. 15-057-07</t>
  </si>
  <si>
    <t>Estimated Shut-in (dth/day)</t>
  </si>
  <si>
    <t>Acutal Shut-in  (dth/day)</t>
  </si>
  <si>
    <t>Total Dth for Quarter</t>
  </si>
  <si>
    <t>Actual Data from Jennifer Beasley</t>
  </si>
  <si>
    <t>Total Possible Prod. From SendOut</t>
  </si>
  <si>
    <t>Shut-In per Month/dth</t>
  </si>
  <si>
    <t>Shut-In per Day/dth</t>
  </si>
  <si>
    <t>Estimates…See Company Nom Groups herein</t>
  </si>
  <si>
    <t>value_09</t>
  </si>
  <si>
    <t>value_10</t>
  </si>
  <si>
    <t>value_11</t>
  </si>
  <si>
    <t>January</t>
  </si>
  <si>
    <t>February</t>
  </si>
  <si>
    <t>March</t>
  </si>
  <si>
    <t>April</t>
  </si>
  <si>
    <t>May</t>
  </si>
  <si>
    <t>Third Quarter Cost-of-Service</t>
  </si>
  <si>
    <t>Second Quarter Cost-of-Service</t>
  </si>
  <si>
    <t>BKSPUNT6MTPC</t>
  </si>
  <si>
    <t>value_12</t>
  </si>
  <si>
    <t>value_01</t>
  </si>
  <si>
    <t>CCRUNIT 2E</t>
  </si>
  <si>
    <t>value_02</t>
  </si>
  <si>
    <t>Quorum Numbers that have closed have Fuel Removed</t>
  </si>
  <si>
    <t>Passthru Numbers and Supply and Req numbers are Gross, fuel not removed.</t>
  </si>
  <si>
    <t>Nomination Group Production</t>
  </si>
  <si>
    <t>New Drill</t>
  </si>
  <si>
    <t>z16 BRUFF</t>
  </si>
  <si>
    <t>z16 CCRK</t>
  </si>
  <si>
    <t>z16 KINEY</t>
  </si>
  <si>
    <t>z16 PINED</t>
  </si>
  <si>
    <t>z16 TRAIL</t>
  </si>
  <si>
    <t>z17 TRAIL</t>
  </si>
  <si>
    <t>TRAIL MT 2E</t>
  </si>
  <si>
    <t>June 2016 Cost-of-Service</t>
  </si>
  <si>
    <t>July 2016 Cost-of-Service</t>
  </si>
  <si>
    <t>August 2016 Cost-of-Service</t>
  </si>
  <si>
    <t>September 2016 Cost-of-Service</t>
  </si>
  <si>
    <t>October 2016 Cost-of-Service</t>
  </si>
  <si>
    <t>November 2016 Cost-of-Service</t>
  </si>
  <si>
    <t>December 2016 Cost-of-Service</t>
  </si>
  <si>
    <t>January 2017 Cost-of-Service</t>
  </si>
  <si>
    <t>February 2017 Cost-of-Service</t>
  </si>
  <si>
    <t>March 2017 Cost-of-Service</t>
  </si>
  <si>
    <t>April 2017 Cost-of-Service</t>
  </si>
  <si>
    <t>May 2017 Cost-of-Service</t>
  </si>
  <si>
    <t>New Drill Total</t>
  </si>
  <si>
    <t>Wexpro II Total</t>
  </si>
  <si>
    <t>Actual Shut-in  (dth/day)</t>
  </si>
  <si>
    <t>Docket No. 16-057-08</t>
  </si>
  <si>
    <t>Wexpro II</t>
  </si>
  <si>
    <t>From Jessica</t>
  </si>
  <si>
    <t>CCRUNIT MT 2E</t>
  </si>
  <si>
    <t>IRP Forecast (Normal)</t>
  </si>
  <si>
    <t>New Drill Actual</t>
  </si>
  <si>
    <t>New Drill IRP Forecast (Normal)</t>
  </si>
  <si>
    <t>Legacy IRP Forecast (Normal)</t>
  </si>
  <si>
    <t>IRP Variance</t>
  </si>
  <si>
    <t xml:space="preserve">Actual Results </t>
  </si>
  <si>
    <t>SUPPLY</t>
  </si>
  <si>
    <t>Cost of Service Prod (Mbtu)</t>
  </si>
  <si>
    <t>Purchases (Mbtu)</t>
  </si>
  <si>
    <t>Clay Basin With (Mbtu)</t>
  </si>
  <si>
    <t>Acquifers With (Mbtu)</t>
  </si>
  <si>
    <t xml:space="preserve">Off-System </t>
  </si>
  <si>
    <t>Total Supply</t>
  </si>
  <si>
    <t>DEMAND</t>
  </si>
  <si>
    <t>Firm Sales (Mbtu)</t>
  </si>
  <si>
    <t>Interruptible Sales (Mbtu)</t>
  </si>
  <si>
    <t>Clay Basin Inj (Mbtu)</t>
  </si>
  <si>
    <t>Acquifers Inj (Mbtu)</t>
  </si>
  <si>
    <t>Fuel</t>
  </si>
  <si>
    <t>Company Use / L&amp;U</t>
  </si>
  <si>
    <t>Total Demand</t>
  </si>
  <si>
    <t xml:space="preserve"> </t>
  </si>
  <si>
    <t>Clay Basin Fuel Usage Adjustment</t>
  </si>
  <si>
    <t>Clay Basin Transfers</t>
  </si>
  <si>
    <t>Acquifers Fuel Usage Adjustment</t>
  </si>
  <si>
    <t>Acquifers Transfers</t>
  </si>
  <si>
    <t>Clay Basin Current Balance</t>
  </si>
  <si>
    <t>Acquifers Current Balance</t>
  </si>
  <si>
    <t>Purchases($/Dth)</t>
  </si>
  <si>
    <t>Purchases $ (000)</t>
  </si>
  <si>
    <t>Variances</t>
  </si>
  <si>
    <t>Cost of service volumes</t>
  </si>
  <si>
    <t>Purchase volumes</t>
  </si>
  <si>
    <t>Purchase $ Act over (under) IRP</t>
  </si>
  <si>
    <t>Vol Variance</t>
  </si>
  <si>
    <t>$ Variance</t>
  </si>
  <si>
    <t>Check</t>
  </si>
  <si>
    <t>Quarter Variance</t>
  </si>
  <si>
    <t>Dominion Energy Utah</t>
  </si>
  <si>
    <t>DEU Variance Exhibit</t>
  </si>
  <si>
    <t>DEU Variance Exhibit 3.1</t>
  </si>
  <si>
    <t>DEU Variance Exhibit 3.2</t>
  </si>
  <si>
    <t>DEU Variance Exhibit 3.3</t>
  </si>
  <si>
    <t>DEU Variance Exhibit 3.4</t>
  </si>
  <si>
    <t>When asking Ras for Data, ask for the Quarter Sales numbers and the Quarter New Drill.  Ras's Sales numbers include the New Drill so be careful not to double count.  Using his New Drill data as a guide, change the MasterND2008.csv lookup so that his new drill wells are added to the ND2008 Nom Group.  Then New Drill will be separate for this report and for the DEU Nom Group Data report.</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</si>
</sst>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0.0%"/>
    <numFmt numFmtId="167" formatCode="[$-409]mmm\-yy;@"/>
    <numFmt numFmtId="168" formatCode="0.000"/>
    <numFmt numFmtId="169" formatCode="0.0"/>
    <numFmt numFmtId="170" formatCode="_(* #,##0_);_(* \(#,##0\);_(* &quot;-&quot;??_);_(@_)"/>
    <numFmt numFmtId="171" formatCode="0.00000%"/>
    <numFmt numFmtId="172" formatCode="&quot;$&quot;#,##0"/>
    <numFmt numFmtId="173" formatCode="#,##0.0000_);\-#,##0.0000"/>
    <numFmt numFmtId="174" formatCode="#,##0.000"/>
    <numFmt numFmtId="175" formatCode="0.000000"/>
    <numFmt numFmtId="176" formatCode="[$-409]mmmm\-yy;@"/>
    <numFmt numFmtId="177" formatCode="0.000%"/>
    <numFmt numFmtId="178" formatCode="0.0000"/>
    <numFmt numFmtId="179" formatCode="_(&quot;$&quot;* #,##0_);_(&quot;$&quot;* \(#,##0\);_(&quot;$&quot;* &quot;-&quot;??_);_(@_)"/>
  </numFmts>
  <fonts count="6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u/>
      <sz val="10"/>
      <color indexed="12"/>
      <name val="Arial"/>
      <family val="2"/>
    </font>
    <font>
      <sz val="10"/>
      <name val="Arial"/>
      <family val="2"/>
    </font>
    <font>
      <b/>
      <sz val="10"/>
      <name val="Arial"/>
      <family val="2"/>
    </font>
    <font>
      <sz val="8"/>
      <color indexed="81"/>
      <name val="Tahoma"/>
      <family val="2"/>
    </font>
    <font>
      <b/>
      <sz val="8"/>
      <color indexed="81"/>
      <name val="Tahoma"/>
      <family val="2"/>
    </font>
    <font>
      <sz val="10"/>
      <color indexed="8"/>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1"/>
      <name val="Arial"/>
      <family val="2"/>
    </font>
    <font>
      <sz val="11"/>
      <color rgb="FF000000"/>
      <name val="Calibri"/>
      <family val="2"/>
      <scheme val="minor"/>
    </font>
    <font>
      <b/>
      <sz val="10"/>
      <color theme="1"/>
      <name val="Calibri"/>
      <family val="2"/>
      <scheme val="minor"/>
    </font>
    <font>
      <sz val="10"/>
      <color indexed="8"/>
      <name val="Times New Roman"/>
      <family val="1"/>
    </font>
    <font>
      <b/>
      <sz val="11"/>
      <color theme="1"/>
      <name val="Arial"/>
      <family val="2"/>
    </font>
    <font>
      <sz val="8"/>
      <color indexed="8"/>
      <name val="Times New Roman"/>
      <family val="1"/>
    </font>
    <font>
      <sz val="10"/>
      <color indexed="12"/>
      <name val="Arial"/>
      <family val="2"/>
    </font>
    <font>
      <sz val="10"/>
      <color indexed="8"/>
      <name val="MS Sans Serif"/>
      <family val="2"/>
    </font>
    <font>
      <sz val="11"/>
      <name val="Calibri"/>
      <family val="2"/>
      <scheme val="minor"/>
    </font>
    <font>
      <b/>
      <sz val="11"/>
      <name val="Calibri"/>
      <family val="2"/>
      <scheme val="minor"/>
    </font>
    <font>
      <sz val="9"/>
      <color indexed="81"/>
      <name val="Tahoma"/>
      <family val="2"/>
    </font>
    <font>
      <b/>
      <sz val="9"/>
      <color indexed="81"/>
      <name val="Tahoma"/>
      <family val="2"/>
    </font>
    <font>
      <sz val="18"/>
      <color theme="3"/>
      <name val="Cambria"/>
      <family val="2"/>
      <scheme val="major"/>
    </font>
    <font>
      <sz val="10"/>
      <name val="Arial"/>
      <family val="2"/>
    </font>
    <font>
      <sz val="10"/>
      <name val="Arial"/>
      <family val="2"/>
    </font>
    <font>
      <sz val="11"/>
      <color theme="1"/>
      <name val="Arial"/>
      <family val="2"/>
    </font>
  </fonts>
  <fills count="3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1"/>
        <bgColor indexed="64"/>
      </patternFill>
    </fill>
    <fill>
      <patternFill patternType="solid">
        <fgColor rgb="FFFFFFCC"/>
        <bgColor indexed="64"/>
      </patternFill>
    </fill>
    <fill>
      <patternFill patternType="solid">
        <fgColor theme="6" tint="0.79998168889431442"/>
        <bgColor indexed="64"/>
      </patternFill>
    </fill>
  </fills>
  <borders count="53">
    <border>
      <left/>
      <right/>
      <top/>
      <bottom/>
      <diagonal/>
    </border>
    <border>
      <left/>
      <right/>
      <top/>
      <bottom style="thin">
        <color indexed="64"/>
      </bottom>
      <diagonal/>
    </border>
    <border>
      <left/>
      <right style="thin">
        <color indexed="64"/>
      </right>
      <top/>
      <bottom/>
      <diagonal/>
    </border>
    <border>
      <left style="thin">
        <color indexed="64"/>
      </left>
      <right/>
      <top/>
      <bottom/>
      <diagonal/>
    </border>
    <border>
      <left/>
      <right/>
      <top/>
      <bottom style="mediumDashDot">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mediumDashDot">
        <color indexed="64"/>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indexed="64"/>
      </right>
      <top style="mediumDashDot">
        <color indexed="64"/>
      </top>
      <bottom/>
      <diagonal/>
    </border>
    <border>
      <left/>
      <right/>
      <top style="mediumDashDot">
        <color indexed="64"/>
      </top>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style="medium">
        <color rgb="FF000000"/>
      </left>
      <right style="thin">
        <color rgb="FF000000"/>
      </right>
      <top style="thin">
        <color rgb="FF000000"/>
      </top>
      <bottom/>
      <diagonal/>
    </border>
    <border>
      <left/>
      <right/>
      <top style="thin">
        <color rgb="FF000000"/>
      </top>
      <bottom style="thin">
        <color indexed="64"/>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indexed="64"/>
      </left>
      <right style="thin">
        <color indexed="64"/>
      </right>
      <top/>
      <bottom style="mediumDashDot">
        <color indexed="64"/>
      </bottom>
      <diagonal/>
    </border>
    <border>
      <left style="thin">
        <color indexed="64"/>
      </left>
      <right style="thin">
        <color indexed="64"/>
      </right>
      <top style="thin">
        <color indexed="64"/>
      </top>
      <bottom style="mediumDashDot">
        <color indexed="64"/>
      </bottom>
      <diagonal/>
    </border>
    <border>
      <left style="thin">
        <color indexed="64"/>
      </left>
      <right/>
      <top/>
      <bottom style="mediumDashDot">
        <color indexed="64"/>
      </bottom>
      <diagonal/>
    </border>
    <border>
      <left/>
      <right style="thin">
        <color indexed="64"/>
      </right>
      <top/>
      <bottom style="mediumDashDot">
        <color indexed="64"/>
      </bottom>
      <diagonal/>
    </border>
    <border>
      <left style="mediumDashDot">
        <color indexed="64"/>
      </left>
      <right style="thin">
        <color indexed="64"/>
      </right>
      <top style="mediumDashDot">
        <color indexed="64"/>
      </top>
      <bottom/>
      <diagonal/>
    </border>
    <border>
      <left style="mediumDashDot">
        <color indexed="64"/>
      </left>
      <right style="thin">
        <color indexed="64"/>
      </right>
      <top style="thin">
        <color indexed="64"/>
      </top>
      <bottom style="thin">
        <color indexed="64"/>
      </bottom>
      <diagonal/>
    </border>
    <border>
      <left style="mediumDashDot">
        <color indexed="64"/>
      </left>
      <right style="thin">
        <color indexed="64"/>
      </right>
      <top style="thin">
        <color indexed="64"/>
      </top>
      <bottom style="mediumDashDot">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516">
    <xf numFmtId="0" fontId="0" fillId="0" borderId="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1" applyNumberFormat="0" applyAlignment="0" applyProtection="0"/>
    <xf numFmtId="0" fontId="35" fillId="28" borderId="12"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13" applyNumberFormat="0" applyFill="0" applyAlignment="0" applyProtection="0"/>
    <xf numFmtId="0" fontId="39" fillId="0" borderId="14" applyNumberFormat="0" applyFill="0" applyAlignment="0" applyProtection="0"/>
    <xf numFmtId="0" fontId="40" fillId="0" borderId="15" applyNumberFormat="0" applyFill="0" applyAlignment="0" applyProtection="0"/>
    <xf numFmtId="0" fontId="40" fillId="0" borderId="0" applyNumberFormat="0" applyFill="0" applyBorder="0" applyAlignment="0" applyProtection="0"/>
    <xf numFmtId="0" fontId="25" fillId="0" borderId="0" applyNumberFormat="0" applyFill="0" applyBorder="0" applyAlignment="0" applyProtection="0">
      <alignment vertical="top"/>
      <protection locked="0"/>
    </xf>
    <xf numFmtId="0" fontId="41" fillId="30" borderId="11" applyNumberFormat="0" applyAlignment="0" applyProtection="0"/>
    <xf numFmtId="0" fontId="42" fillId="0" borderId="16" applyNumberFormat="0" applyFill="0" applyAlignment="0" applyProtection="0"/>
    <xf numFmtId="0" fontId="43" fillId="31" borderId="0" applyNumberFormat="0" applyBorder="0" applyAlignment="0" applyProtection="0"/>
    <xf numFmtId="0" fontId="31" fillId="32" borderId="17" applyNumberFormat="0" applyFont="0" applyAlignment="0" applyProtection="0"/>
    <xf numFmtId="0" fontId="31" fillId="32" borderId="17" applyNumberFormat="0" applyFont="0" applyAlignment="0" applyProtection="0"/>
    <xf numFmtId="0" fontId="44" fillId="27" borderId="18" applyNumberFormat="0" applyAlignment="0" applyProtection="0"/>
    <xf numFmtId="0" fontId="45" fillId="0" borderId="0" applyNumberFormat="0" applyFill="0" applyBorder="0" applyAlignment="0" applyProtection="0"/>
    <xf numFmtId="0" fontId="46" fillId="0" borderId="19" applyNumberFormat="0" applyFill="0" applyAlignment="0" applyProtection="0"/>
    <xf numFmtId="0" fontId="47" fillId="0" borderId="0" applyNumberFormat="0" applyFill="0" applyBorder="0" applyAlignment="0" applyProtection="0"/>
    <xf numFmtId="43" fontId="22" fillId="0" borderId="0" applyFont="0" applyFill="0" applyBorder="0" applyAlignment="0" applyProtection="0"/>
    <xf numFmtId="0" fontId="49" fillId="0" borderId="0"/>
    <xf numFmtId="0" fontId="21" fillId="32" borderId="17" applyNumberFormat="0" applyFont="0" applyAlignment="0" applyProtection="0"/>
    <xf numFmtId="0" fontId="21" fillId="32" borderId="17" applyNumberFormat="0" applyFont="0" applyAlignment="0" applyProtection="0"/>
    <xf numFmtId="0" fontId="21" fillId="2" borderId="0" applyNumberFormat="0" applyBorder="0" applyAlignment="0" applyProtection="0"/>
    <xf numFmtId="0" fontId="21" fillId="8" borderId="0" applyNumberFormat="0" applyBorder="0" applyAlignment="0" applyProtection="0"/>
    <xf numFmtId="0" fontId="21" fillId="4" borderId="0" applyNumberFormat="0" applyBorder="0" applyAlignment="0" applyProtection="0"/>
    <xf numFmtId="0" fontId="21" fillId="8" borderId="0" applyNumberFormat="0" applyBorder="0" applyAlignment="0" applyProtection="0"/>
    <xf numFmtId="0" fontId="21" fillId="3" borderId="0" applyNumberFormat="0" applyBorder="0" applyAlignment="0" applyProtection="0"/>
    <xf numFmtId="0" fontId="21" fillId="9" borderId="0" applyNumberFormat="0" applyBorder="0" applyAlignment="0" applyProtection="0"/>
    <xf numFmtId="0" fontId="21" fillId="2" borderId="0" applyNumberFormat="0" applyBorder="0" applyAlignment="0" applyProtection="0"/>
    <xf numFmtId="0" fontId="21" fillId="4" borderId="0" applyNumberFormat="0" applyBorder="0" applyAlignment="0" applyProtection="0"/>
    <xf numFmtId="0" fontId="21" fillId="10" borderId="0" applyNumberFormat="0" applyBorder="0" applyAlignment="0" applyProtection="0"/>
    <xf numFmtId="0" fontId="21" fillId="0" borderId="0"/>
    <xf numFmtId="0" fontId="21" fillId="8" borderId="0" applyNumberFormat="0" applyBorder="0" applyAlignment="0" applyProtection="0"/>
    <xf numFmtId="0" fontId="21" fillId="5" borderId="0" applyNumberFormat="0" applyBorder="0" applyAlignment="0" applyProtection="0"/>
    <xf numFmtId="0" fontId="21" fillId="11" borderId="0" applyNumberFormat="0" applyBorder="0" applyAlignment="0" applyProtection="0"/>
    <xf numFmtId="0" fontId="21" fillId="9" borderId="0" applyNumberFormat="0" applyBorder="0" applyAlignment="0" applyProtection="0"/>
    <xf numFmtId="0" fontId="21" fillId="0" borderId="0"/>
    <xf numFmtId="0" fontId="21" fillId="6" borderId="0" applyNumberFormat="0" applyBorder="0" applyAlignment="0" applyProtection="0"/>
    <xf numFmtId="0" fontId="21" fillId="12" borderId="0" applyNumberFormat="0" applyBorder="0" applyAlignment="0" applyProtection="0"/>
    <xf numFmtId="0" fontId="21" fillId="3" borderId="0" applyNumberFormat="0" applyBorder="0" applyAlignment="0" applyProtection="0"/>
    <xf numFmtId="0" fontId="21" fillId="7" borderId="0" applyNumberFormat="0" applyBorder="0" applyAlignment="0" applyProtection="0"/>
    <xf numFmtId="0" fontId="21" fillId="13" borderId="0" applyNumberFormat="0" applyBorder="0" applyAlignment="0" applyProtection="0"/>
    <xf numFmtId="0" fontId="21" fillId="2" borderId="0" applyNumberFormat="0" applyBorder="0" applyAlignment="0" applyProtection="0"/>
    <xf numFmtId="0" fontId="21" fillId="10" borderId="0" applyNumberFormat="0" applyBorder="0" applyAlignment="0" applyProtection="0"/>
    <xf numFmtId="0" fontId="21" fillId="9" borderId="0" applyNumberFormat="0" applyBorder="0" applyAlignment="0" applyProtection="0"/>
    <xf numFmtId="0" fontId="21" fillId="5" borderId="0" applyNumberFormat="0" applyBorder="0" applyAlignment="0" applyProtection="0"/>
    <xf numFmtId="0" fontId="21" fillId="11" borderId="0" applyNumberFormat="0" applyBorder="0" applyAlignment="0" applyProtection="0"/>
    <xf numFmtId="0" fontId="21" fillId="3" borderId="0" applyNumberFormat="0" applyBorder="0" applyAlignment="0" applyProtection="0"/>
    <xf numFmtId="0" fontId="21" fillId="6" borderId="0" applyNumberFormat="0" applyBorder="0" applyAlignment="0" applyProtection="0"/>
    <xf numFmtId="0" fontId="21" fillId="12" borderId="0" applyNumberFormat="0" applyBorder="0" applyAlignment="0" applyProtection="0"/>
    <xf numFmtId="0" fontId="21" fillId="0" borderId="0"/>
    <xf numFmtId="0" fontId="21" fillId="32" borderId="17" applyNumberFormat="0" applyFont="0" applyAlignment="0" applyProtection="0"/>
    <xf numFmtId="0" fontId="21" fillId="7" borderId="0" applyNumberFormat="0" applyBorder="0" applyAlignment="0" applyProtection="0"/>
    <xf numFmtId="0" fontId="21" fillId="13" borderId="0" applyNumberFormat="0" applyBorder="0" applyAlignment="0" applyProtection="0"/>
    <xf numFmtId="0" fontId="21" fillId="32" borderId="17" applyNumberFormat="0" applyFont="0" applyAlignment="0" applyProtection="0"/>
    <xf numFmtId="0" fontId="21" fillId="4"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11" borderId="0" applyNumberFormat="0" applyBorder="0" applyAlignment="0" applyProtection="0"/>
    <xf numFmtId="0" fontId="21" fillId="6" borderId="0" applyNumberFormat="0" applyBorder="0" applyAlignment="0" applyProtection="0"/>
    <xf numFmtId="0" fontId="21" fillId="12" borderId="0" applyNumberFormat="0" applyBorder="0" applyAlignment="0" applyProtection="0"/>
    <xf numFmtId="0" fontId="21" fillId="0" borderId="0"/>
    <xf numFmtId="0" fontId="21" fillId="7" borderId="0" applyNumberFormat="0" applyBorder="0" applyAlignment="0" applyProtection="0"/>
    <xf numFmtId="0" fontId="21" fillId="13" borderId="0" applyNumberFormat="0" applyBorder="0" applyAlignment="0" applyProtection="0"/>
    <xf numFmtId="0" fontId="21" fillId="32" borderId="17" applyNumberFormat="0" applyFont="0" applyAlignment="0" applyProtection="0"/>
    <xf numFmtId="0" fontId="21" fillId="0" borderId="0"/>
    <xf numFmtId="0" fontId="21" fillId="2"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3" borderId="0" applyNumberFormat="0" applyBorder="0" applyAlignment="0" applyProtection="0"/>
    <xf numFmtId="0" fontId="21" fillId="9" borderId="0" applyNumberFormat="0" applyBorder="0" applyAlignment="0" applyProtection="0"/>
    <xf numFmtId="0" fontId="21" fillId="3" borderId="0" applyNumberFormat="0" applyBorder="0" applyAlignment="0" applyProtection="0"/>
    <xf numFmtId="0" fontId="21" fillId="32" borderId="17" applyNumberFormat="0" applyFont="0" applyAlignment="0" applyProtection="0"/>
    <xf numFmtId="0" fontId="21" fillId="4" borderId="0" applyNumberFormat="0" applyBorder="0" applyAlignment="0" applyProtection="0"/>
    <xf numFmtId="0" fontId="21" fillId="10" borderId="0" applyNumberFormat="0" applyBorder="0" applyAlignment="0" applyProtection="0"/>
    <xf numFmtId="0" fontId="21" fillId="32" borderId="17" applyNumberFormat="0" applyFont="0" applyAlignment="0" applyProtection="0"/>
    <xf numFmtId="0" fontId="21" fillId="5" borderId="0" applyNumberFormat="0" applyBorder="0" applyAlignment="0" applyProtection="0"/>
    <xf numFmtId="0" fontId="21" fillId="11"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0" fontId="21" fillId="12" borderId="0" applyNumberFormat="0" applyBorder="0" applyAlignment="0" applyProtection="0"/>
    <xf numFmtId="0" fontId="21" fillId="8" borderId="0" applyNumberFormat="0" applyBorder="0" applyAlignment="0" applyProtection="0"/>
    <xf numFmtId="0" fontId="21" fillId="0" borderId="0"/>
    <xf numFmtId="0" fontId="21" fillId="7" borderId="0" applyNumberFormat="0" applyBorder="0" applyAlignment="0" applyProtection="0"/>
    <xf numFmtId="0" fontId="21" fillId="13"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32" borderId="17" applyNumberFormat="0" applyFont="0" applyAlignment="0" applyProtection="0"/>
    <xf numFmtId="0" fontId="21" fillId="4" borderId="0" applyNumberFormat="0" applyBorder="0" applyAlignment="0" applyProtection="0"/>
    <xf numFmtId="0" fontId="21" fillId="10" borderId="0" applyNumberFormat="0" applyBorder="0" applyAlignment="0" applyProtection="0"/>
    <xf numFmtId="0" fontId="21" fillId="4" borderId="0" applyNumberFormat="0" applyBorder="0" applyAlignment="0" applyProtection="0"/>
    <xf numFmtId="0" fontId="21" fillId="0" borderId="0"/>
    <xf numFmtId="0" fontId="21" fillId="5" borderId="0" applyNumberFormat="0" applyBorder="0" applyAlignment="0" applyProtection="0"/>
    <xf numFmtId="0" fontId="21" fillId="11" borderId="0" applyNumberFormat="0" applyBorder="0" applyAlignment="0" applyProtection="0"/>
    <xf numFmtId="0" fontId="21" fillId="6" borderId="0" applyNumberFormat="0" applyBorder="0" applyAlignment="0" applyProtection="0"/>
    <xf numFmtId="0" fontId="21" fillId="12" borderId="0" applyNumberFormat="0" applyBorder="0" applyAlignment="0" applyProtection="0"/>
    <xf numFmtId="0" fontId="21" fillId="7" borderId="0" applyNumberFormat="0" applyBorder="0" applyAlignment="0" applyProtection="0"/>
    <xf numFmtId="0" fontId="21" fillId="13" borderId="0" applyNumberFormat="0" applyBorder="0" applyAlignment="0" applyProtection="0"/>
    <xf numFmtId="0" fontId="21" fillId="32" borderId="17" applyNumberFormat="0" applyFont="0" applyAlignment="0" applyProtection="0"/>
    <xf numFmtId="0" fontId="21" fillId="4" borderId="0" applyNumberFormat="0" applyBorder="0" applyAlignment="0" applyProtection="0"/>
    <xf numFmtId="0" fontId="21" fillId="8" borderId="0" applyNumberFormat="0" applyBorder="0" applyAlignment="0" applyProtection="0"/>
    <xf numFmtId="0" fontId="21" fillId="3" borderId="0" applyNumberFormat="0" applyBorder="0" applyAlignment="0" applyProtection="0"/>
    <xf numFmtId="0" fontId="21" fillId="9"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4" borderId="0" applyNumberFormat="0" applyBorder="0" applyAlignment="0" applyProtection="0"/>
    <xf numFmtId="0" fontId="21" fillId="10" borderId="0" applyNumberFormat="0" applyBorder="0" applyAlignment="0" applyProtection="0"/>
    <xf numFmtId="0" fontId="21" fillId="2"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11" borderId="0" applyNumberFormat="0" applyBorder="0" applyAlignment="0" applyProtection="0"/>
    <xf numFmtId="0" fontId="21" fillId="9" borderId="0" applyNumberFormat="0" applyBorder="0" applyAlignment="0" applyProtection="0"/>
    <xf numFmtId="0" fontId="21" fillId="6" borderId="0" applyNumberFormat="0" applyBorder="0" applyAlignment="0" applyProtection="0"/>
    <xf numFmtId="0" fontId="21" fillId="12" borderId="0" applyNumberFormat="0" applyBorder="0" applyAlignment="0" applyProtection="0"/>
    <xf numFmtId="0" fontId="21" fillId="3" borderId="0" applyNumberFormat="0" applyBorder="0" applyAlignment="0" applyProtection="0"/>
    <xf numFmtId="0" fontId="21" fillId="7" borderId="0" applyNumberFormat="0" applyBorder="0" applyAlignment="0" applyProtection="0"/>
    <xf numFmtId="0" fontId="21" fillId="13" borderId="0" applyNumberFormat="0" applyBorder="0" applyAlignment="0" applyProtection="0"/>
    <xf numFmtId="0" fontId="21" fillId="8"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11" borderId="0" applyNumberFormat="0" applyBorder="0" applyAlignment="0" applyProtection="0"/>
    <xf numFmtId="0" fontId="21" fillId="9" borderId="0" applyNumberFormat="0" applyBorder="0" applyAlignment="0" applyProtection="0"/>
    <xf numFmtId="0" fontId="21" fillId="6" borderId="0" applyNumberFormat="0" applyBorder="0" applyAlignment="0" applyProtection="0"/>
    <xf numFmtId="0" fontId="21" fillId="12" borderId="0" applyNumberFormat="0" applyBorder="0" applyAlignment="0" applyProtection="0"/>
    <xf numFmtId="0" fontId="21" fillId="3" borderId="0" applyNumberFormat="0" applyBorder="0" applyAlignment="0" applyProtection="0"/>
    <xf numFmtId="0" fontId="21" fillId="7" borderId="0" applyNumberFormat="0" applyBorder="0" applyAlignment="0" applyProtection="0"/>
    <xf numFmtId="0" fontId="21" fillId="13" borderId="0" applyNumberFormat="0" applyBorder="0" applyAlignment="0" applyProtection="0"/>
    <xf numFmtId="0" fontId="21" fillId="8"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11" borderId="0" applyNumberFormat="0" applyBorder="0" applyAlignment="0" applyProtection="0"/>
    <xf numFmtId="0" fontId="21" fillId="9" borderId="0" applyNumberFormat="0" applyBorder="0" applyAlignment="0" applyProtection="0"/>
    <xf numFmtId="0" fontId="21" fillId="6" borderId="0" applyNumberFormat="0" applyBorder="0" applyAlignment="0" applyProtection="0"/>
    <xf numFmtId="0" fontId="21" fillId="12" borderId="0" applyNumberFormat="0" applyBorder="0" applyAlignment="0" applyProtection="0"/>
    <xf numFmtId="0" fontId="21" fillId="3" borderId="0" applyNumberFormat="0" applyBorder="0" applyAlignment="0" applyProtection="0"/>
    <xf numFmtId="0" fontId="21" fillId="7" borderId="0" applyNumberFormat="0" applyBorder="0" applyAlignment="0" applyProtection="0"/>
    <xf numFmtId="0" fontId="21" fillId="13"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11" borderId="0" applyNumberFormat="0" applyBorder="0" applyAlignment="0" applyProtection="0"/>
    <xf numFmtId="0" fontId="21" fillId="6" borderId="0" applyNumberFormat="0" applyBorder="0" applyAlignment="0" applyProtection="0"/>
    <xf numFmtId="0" fontId="21" fillId="12" borderId="0" applyNumberFormat="0" applyBorder="0" applyAlignment="0" applyProtection="0"/>
    <xf numFmtId="0" fontId="21" fillId="7" borderId="0" applyNumberFormat="0" applyBorder="0" applyAlignment="0" applyProtection="0"/>
    <xf numFmtId="0" fontId="21" fillId="13" borderId="0" applyNumberFormat="0" applyBorder="0" applyAlignment="0" applyProtection="0"/>
    <xf numFmtId="0" fontId="20" fillId="0" borderId="0"/>
    <xf numFmtId="0" fontId="20" fillId="32" borderId="17" applyNumberFormat="0" applyFont="0" applyAlignment="0" applyProtection="0"/>
    <xf numFmtId="0" fontId="20" fillId="2" borderId="0" applyNumberFormat="0" applyBorder="0" applyAlignment="0" applyProtection="0"/>
    <xf numFmtId="0" fontId="20" fillId="8" borderId="0" applyNumberFormat="0" applyBorder="0" applyAlignment="0" applyProtection="0"/>
    <xf numFmtId="0" fontId="20" fillId="3" borderId="0" applyNumberFormat="0" applyBorder="0" applyAlignment="0" applyProtection="0"/>
    <xf numFmtId="0" fontId="20" fillId="9" borderId="0" applyNumberFormat="0" applyBorder="0" applyAlignment="0" applyProtection="0"/>
    <xf numFmtId="0" fontId="20" fillId="4"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11" borderId="0" applyNumberFormat="0" applyBorder="0" applyAlignment="0" applyProtection="0"/>
    <xf numFmtId="0" fontId="20" fillId="6" borderId="0" applyNumberFormat="0" applyBorder="0" applyAlignment="0" applyProtection="0"/>
    <xf numFmtId="0" fontId="20" fillId="12" borderId="0" applyNumberFormat="0" applyBorder="0" applyAlignment="0" applyProtection="0"/>
    <xf numFmtId="0" fontId="20" fillId="7" borderId="0" applyNumberFormat="0" applyBorder="0" applyAlignment="0" applyProtection="0"/>
    <xf numFmtId="0" fontId="20" fillId="13" borderId="0" applyNumberFormat="0" applyBorder="0" applyAlignment="0" applyProtection="0"/>
    <xf numFmtId="0" fontId="19" fillId="0" borderId="0"/>
    <xf numFmtId="0" fontId="19" fillId="32" borderId="17" applyNumberFormat="0" applyFont="0" applyAlignment="0" applyProtection="0"/>
    <xf numFmtId="0" fontId="19" fillId="2" borderId="0" applyNumberFormat="0" applyBorder="0" applyAlignment="0" applyProtection="0"/>
    <xf numFmtId="0" fontId="19" fillId="8" borderId="0" applyNumberFormat="0" applyBorder="0" applyAlignment="0" applyProtection="0"/>
    <xf numFmtId="0" fontId="19" fillId="3" borderId="0" applyNumberFormat="0" applyBorder="0" applyAlignment="0" applyProtection="0"/>
    <xf numFmtId="0" fontId="19" fillId="9" borderId="0" applyNumberFormat="0" applyBorder="0" applyAlignment="0" applyProtection="0"/>
    <xf numFmtId="0" fontId="19" fillId="4"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11" borderId="0" applyNumberFormat="0" applyBorder="0" applyAlignment="0" applyProtection="0"/>
    <xf numFmtId="0" fontId="19" fillId="6" borderId="0" applyNumberFormat="0" applyBorder="0" applyAlignment="0" applyProtection="0"/>
    <xf numFmtId="0" fontId="19" fillId="12" borderId="0" applyNumberFormat="0" applyBorder="0" applyAlignment="0" applyProtection="0"/>
    <xf numFmtId="0" fontId="19" fillId="7" borderId="0" applyNumberFormat="0" applyBorder="0" applyAlignment="0" applyProtection="0"/>
    <xf numFmtId="0" fontId="19" fillId="13" borderId="0" applyNumberFormat="0" applyBorder="0" applyAlignment="0" applyProtection="0"/>
    <xf numFmtId="0" fontId="18" fillId="0" borderId="0"/>
    <xf numFmtId="0" fontId="22"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0" borderId="0"/>
    <xf numFmtId="0" fontId="17" fillId="0" borderId="0"/>
    <xf numFmtId="0" fontId="17" fillId="0" borderId="0"/>
    <xf numFmtId="0" fontId="17" fillId="32" borderId="17" applyNumberFormat="0" applyFont="0" applyAlignment="0" applyProtection="0"/>
    <xf numFmtId="0" fontId="17" fillId="32" borderId="17" applyNumberFormat="0" applyFont="0" applyAlignment="0" applyProtection="0"/>
    <xf numFmtId="0" fontId="17" fillId="32" borderId="17" applyNumberFormat="0" applyFont="0" applyAlignment="0" applyProtection="0"/>
    <xf numFmtId="0" fontId="17" fillId="32" borderId="17" applyNumberFormat="0" applyFont="0" applyAlignment="0" applyProtection="0"/>
    <xf numFmtId="0" fontId="17" fillId="32" borderId="17" applyNumberFormat="0" applyFont="0" applyAlignment="0" applyProtection="0"/>
    <xf numFmtId="0" fontId="17" fillId="2" borderId="0" applyNumberFormat="0" applyBorder="0" applyAlignment="0" applyProtection="0"/>
    <xf numFmtId="0" fontId="17" fillId="8" borderId="0" applyNumberFormat="0" applyBorder="0" applyAlignment="0" applyProtection="0"/>
    <xf numFmtId="0" fontId="17" fillId="4" borderId="0" applyNumberFormat="0" applyBorder="0" applyAlignment="0" applyProtection="0"/>
    <xf numFmtId="0" fontId="17" fillId="8" borderId="0" applyNumberFormat="0" applyBorder="0" applyAlignment="0" applyProtection="0"/>
    <xf numFmtId="0" fontId="17" fillId="3" borderId="0" applyNumberFormat="0" applyBorder="0" applyAlignment="0" applyProtection="0"/>
    <xf numFmtId="0" fontId="17" fillId="9" borderId="0" applyNumberFormat="0" applyBorder="0" applyAlignment="0" applyProtection="0"/>
    <xf numFmtId="0" fontId="17" fillId="2" borderId="0" applyNumberFormat="0" applyBorder="0" applyAlignment="0" applyProtection="0"/>
    <xf numFmtId="0" fontId="17" fillId="4" borderId="0" applyNumberFormat="0" applyBorder="0" applyAlignment="0" applyProtection="0"/>
    <xf numFmtId="0" fontId="17" fillId="10" borderId="0" applyNumberFormat="0" applyBorder="0" applyAlignment="0" applyProtection="0"/>
    <xf numFmtId="0" fontId="17" fillId="8" borderId="0" applyNumberFormat="0" applyBorder="0" applyAlignment="0" applyProtection="0"/>
    <xf numFmtId="0" fontId="17" fillId="5" borderId="0" applyNumberFormat="0" applyBorder="0" applyAlignment="0" applyProtection="0"/>
    <xf numFmtId="0" fontId="17" fillId="11" borderId="0" applyNumberFormat="0" applyBorder="0" applyAlignment="0" applyProtection="0"/>
    <xf numFmtId="0" fontId="17" fillId="9" borderId="0" applyNumberFormat="0" applyBorder="0" applyAlignment="0" applyProtection="0"/>
    <xf numFmtId="0" fontId="17" fillId="6" borderId="0" applyNumberFormat="0" applyBorder="0" applyAlignment="0" applyProtection="0"/>
    <xf numFmtId="0" fontId="17" fillId="12" borderId="0" applyNumberFormat="0" applyBorder="0" applyAlignment="0" applyProtection="0"/>
    <xf numFmtId="0" fontId="17" fillId="3" borderId="0" applyNumberFormat="0" applyBorder="0" applyAlignment="0" applyProtection="0"/>
    <xf numFmtId="0" fontId="17" fillId="7" borderId="0" applyNumberFormat="0" applyBorder="0" applyAlignment="0" applyProtection="0"/>
    <xf numFmtId="0" fontId="17" fillId="13" borderId="0" applyNumberFormat="0" applyBorder="0" applyAlignment="0" applyProtection="0"/>
    <xf numFmtId="0" fontId="17" fillId="2" borderId="0" applyNumberFormat="0" applyBorder="0" applyAlignment="0" applyProtection="0"/>
    <xf numFmtId="0" fontId="17" fillId="10" borderId="0" applyNumberFormat="0" applyBorder="0" applyAlignment="0" applyProtection="0"/>
    <xf numFmtId="0" fontId="17" fillId="9" borderId="0" applyNumberFormat="0" applyBorder="0" applyAlignment="0" applyProtection="0"/>
    <xf numFmtId="0" fontId="17" fillId="5" borderId="0" applyNumberFormat="0" applyBorder="0" applyAlignment="0" applyProtection="0"/>
    <xf numFmtId="0" fontId="17" fillId="11" borderId="0" applyNumberFormat="0" applyBorder="0" applyAlignment="0" applyProtection="0"/>
    <xf numFmtId="0" fontId="17" fillId="3" borderId="0" applyNumberFormat="0" applyBorder="0" applyAlignment="0" applyProtection="0"/>
    <xf numFmtId="0" fontId="17" fillId="6" borderId="0" applyNumberFormat="0" applyBorder="0" applyAlignment="0" applyProtection="0"/>
    <xf numFmtId="0" fontId="17" fillId="12" borderId="0" applyNumberFormat="0" applyBorder="0" applyAlignment="0" applyProtection="0"/>
    <xf numFmtId="0" fontId="17" fillId="0" borderId="0"/>
    <xf numFmtId="0" fontId="17" fillId="7" borderId="0" applyNumberFormat="0" applyBorder="0" applyAlignment="0" applyProtection="0"/>
    <xf numFmtId="0" fontId="17" fillId="13" borderId="0" applyNumberFormat="0" applyBorder="0" applyAlignment="0" applyProtection="0"/>
    <xf numFmtId="0" fontId="17" fillId="32" borderId="17" applyNumberFormat="0" applyFont="0" applyAlignment="0" applyProtection="0"/>
    <xf numFmtId="0" fontId="17" fillId="4"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11" borderId="0" applyNumberFormat="0" applyBorder="0" applyAlignment="0" applyProtection="0"/>
    <xf numFmtId="0" fontId="17" fillId="6" borderId="0" applyNumberFormat="0" applyBorder="0" applyAlignment="0" applyProtection="0"/>
    <xf numFmtId="0" fontId="17" fillId="12" borderId="0" applyNumberFormat="0" applyBorder="0" applyAlignment="0" applyProtection="0"/>
    <xf numFmtId="0" fontId="17" fillId="7" borderId="0" applyNumberFormat="0" applyBorder="0" applyAlignment="0" applyProtection="0"/>
    <xf numFmtId="0" fontId="17" fillId="13" borderId="0" applyNumberFormat="0" applyBorder="0" applyAlignment="0" applyProtection="0"/>
    <xf numFmtId="0" fontId="17" fillId="32" borderId="17" applyNumberFormat="0" applyFont="0" applyAlignment="0" applyProtection="0"/>
    <xf numFmtId="0" fontId="17" fillId="0" borderId="0"/>
    <xf numFmtId="0" fontId="17" fillId="2"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3" borderId="0" applyNumberFormat="0" applyBorder="0" applyAlignment="0" applyProtection="0"/>
    <xf numFmtId="0" fontId="17" fillId="9" borderId="0" applyNumberFormat="0" applyBorder="0" applyAlignment="0" applyProtection="0"/>
    <xf numFmtId="0" fontId="17" fillId="3" borderId="0" applyNumberFormat="0" applyBorder="0" applyAlignment="0" applyProtection="0"/>
    <xf numFmtId="0" fontId="17" fillId="32" borderId="17" applyNumberFormat="0" applyFont="0" applyAlignment="0" applyProtection="0"/>
    <xf numFmtId="0" fontId="17" fillId="4" borderId="0" applyNumberFormat="0" applyBorder="0" applyAlignment="0" applyProtection="0"/>
    <xf numFmtId="0" fontId="17" fillId="10" borderId="0" applyNumberFormat="0" applyBorder="0" applyAlignment="0" applyProtection="0"/>
    <xf numFmtId="0" fontId="17" fillId="32" borderId="17" applyNumberFormat="0" applyFont="0" applyAlignment="0" applyProtection="0"/>
    <xf numFmtId="0" fontId="17" fillId="5" borderId="0" applyNumberFormat="0" applyBorder="0" applyAlignment="0" applyProtection="0"/>
    <xf numFmtId="0" fontId="17" fillId="11" borderId="0" applyNumberFormat="0" applyBorder="0" applyAlignment="0" applyProtection="0"/>
    <xf numFmtId="0" fontId="17" fillId="8" borderId="0" applyNumberFormat="0" applyBorder="0" applyAlignment="0" applyProtection="0"/>
    <xf numFmtId="0" fontId="17" fillId="6" borderId="0" applyNumberFormat="0" applyBorder="0" applyAlignment="0" applyProtection="0"/>
    <xf numFmtId="0" fontId="17" fillId="12" borderId="0" applyNumberFormat="0" applyBorder="0" applyAlignment="0" applyProtection="0"/>
    <xf numFmtId="0" fontId="17" fillId="8" borderId="0" applyNumberFormat="0" applyBorder="0" applyAlignment="0" applyProtection="0"/>
    <xf numFmtId="0" fontId="17" fillId="0" borderId="0"/>
    <xf numFmtId="0" fontId="17" fillId="7" borderId="0" applyNumberFormat="0" applyBorder="0" applyAlignment="0" applyProtection="0"/>
    <xf numFmtId="0" fontId="17" fillId="13"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2" borderId="17" applyNumberFormat="0" applyFont="0" applyAlignment="0" applyProtection="0"/>
    <xf numFmtId="0" fontId="17" fillId="4" borderId="0" applyNumberFormat="0" applyBorder="0" applyAlignment="0" applyProtection="0"/>
    <xf numFmtId="0" fontId="17" fillId="10" borderId="0" applyNumberFormat="0" applyBorder="0" applyAlignment="0" applyProtection="0"/>
    <xf numFmtId="0" fontId="17" fillId="4" borderId="0" applyNumberFormat="0" applyBorder="0" applyAlignment="0" applyProtection="0"/>
    <xf numFmtId="0" fontId="17" fillId="0" borderId="0"/>
    <xf numFmtId="0" fontId="17" fillId="5" borderId="0" applyNumberFormat="0" applyBorder="0" applyAlignment="0" applyProtection="0"/>
    <xf numFmtId="0" fontId="17" fillId="11" borderId="0" applyNumberFormat="0" applyBorder="0" applyAlignment="0" applyProtection="0"/>
    <xf numFmtId="0" fontId="17" fillId="6" borderId="0" applyNumberFormat="0" applyBorder="0" applyAlignment="0" applyProtection="0"/>
    <xf numFmtId="0" fontId="17" fillId="12" borderId="0" applyNumberFormat="0" applyBorder="0" applyAlignment="0" applyProtection="0"/>
    <xf numFmtId="0" fontId="17" fillId="7" borderId="0" applyNumberFormat="0" applyBorder="0" applyAlignment="0" applyProtection="0"/>
    <xf numFmtId="0" fontId="17" fillId="13" borderId="0" applyNumberFormat="0" applyBorder="0" applyAlignment="0" applyProtection="0"/>
    <xf numFmtId="0" fontId="17" fillId="32" borderId="17" applyNumberFormat="0" applyFont="0" applyAlignment="0" applyProtection="0"/>
    <xf numFmtId="0" fontId="17" fillId="4" borderId="0" applyNumberFormat="0" applyBorder="0" applyAlignment="0" applyProtection="0"/>
    <xf numFmtId="0" fontId="17" fillId="8" borderId="0" applyNumberFormat="0" applyBorder="0" applyAlignment="0" applyProtection="0"/>
    <xf numFmtId="0" fontId="17" fillId="3" borderId="0" applyNumberFormat="0" applyBorder="0" applyAlignment="0" applyProtection="0"/>
    <xf numFmtId="0" fontId="17" fillId="9"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4" borderId="0" applyNumberFormat="0" applyBorder="0" applyAlignment="0" applyProtection="0"/>
    <xf numFmtId="0" fontId="17" fillId="10" borderId="0" applyNumberFormat="0" applyBorder="0" applyAlignment="0" applyProtection="0"/>
    <xf numFmtId="0" fontId="17" fillId="2"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11" borderId="0" applyNumberFormat="0" applyBorder="0" applyAlignment="0" applyProtection="0"/>
    <xf numFmtId="0" fontId="17" fillId="9" borderId="0" applyNumberFormat="0" applyBorder="0" applyAlignment="0" applyProtection="0"/>
    <xf numFmtId="0" fontId="17" fillId="6" borderId="0" applyNumberFormat="0" applyBorder="0" applyAlignment="0" applyProtection="0"/>
    <xf numFmtId="0" fontId="17" fillId="12" borderId="0" applyNumberFormat="0" applyBorder="0" applyAlignment="0" applyProtection="0"/>
    <xf numFmtId="0" fontId="17" fillId="3" borderId="0" applyNumberFormat="0" applyBorder="0" applyAlignment="0" applyProtection="0"/>
    <xf numFmtId="0" fontId="17" fillId="7" borderId="0" applyNumberFormat="0" applyBorder="0" applyAlignment="0" applyProtection="0"/>
    <xf numFmtId="0" fontId="17" fillId="13" borderId="0" applyNumberFormat="0" applyBorder="0" applyAlignment="0" applyProtection="0"/>
    <xf numFmtId="0" fontId="17" fillId="8"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11" borderId="0" applyNumberFormat="0" applyBorder="0" applyAlignment="0" applyProtection="0"/>
    <xf numFmtId="0" fontId="17" fillId="9" borderId="0" applyNumberFormat="0" applyBorder="0" applyAlignment="0" applyProtection="0"/>
    <xf numFmtId="0" fontId="17" fillId="6" borderId="0" applyNumberFormat="0" applyBorder="0" applyAlignment="0" applyProtection="0"/>
    <xf numFmtId="0" fontId="17" fillId="12" borderId="0" applyNumberFormat="0" applyBorder="0" applyAlignment="0" applyProtection="0"/>
    <xf numFmtId="0" fontId="17" fillId="3" borderId="0" applyNumberFormat="0" applyBorder="0" applyAlignment="0" applyProtection="0"/>
    <xf numFmtId="0" fontId="17" fillId="7" borderId="0" applyNumberFormat="0" applyBorder="0" applyAlignment="0" applyProtection="0"/>
    <xf numFmtId="0" fontId="17" fillId="13" borderId="0" applyNumberFormat="0" applyBorder="0" applyAlignment="0" applyProtection="0"/>
    <xf numFmtId="0" fontId="17" fillId="8"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11" borderId="0" applyNumberFormat="0" applyBorder="0" applyAlignment="0" applyProtection="0"/>
    <xf numFmtId="0" fontId="17" fillId="9" borderId="0" applyNumberFormat="0" applyBorder="0" applyAlignment="0" applyProtection="0"/>
    <xf numFmtId="0" fontId="17" fillId="6" borderId="0" applyNumberFormat="0" applyBorder="0" applyAlignment="0" applyProtection="0"/>
    <xf numFmtId="0" fontId="17" fillId="12" borderId="0" applyNumberFormat="0" applyBorder="0" applyAlignment="0" applyProtection="0"/>
    <xf numFmtId="0" fontId="17" fillId="3" borderId="0" applyNumberFormat="0" applyBorder="0" applyAlignment="0" applyProtection="0"/>
    <xf numFmtId="0" fontId="17" fillId="7" borderId="0" applyNumberFormat="0" applyBorder="0" applyAlignment="0" applyProtection="0"/>
    <xf numFmtId="0" fontId="17" fillId="13"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11" borderId="0" applyNumberFormat="0" applyBorder="0" applyAlignment="0" applyProtection="0"/>
    <xf numFmtId="0" fontId="17" fillId="6" borderId="0" applyNumberFormat="0" applyBorder="0" applyAlignment="0" applyProtection="0"/>
    <xf numFmtId="0" fontId="17" fillId="12" borderId="0" applyNumberFormat="0" applyBorder="0" applyAlignment="0" applyProtection="0"/>
    <xf numFmtId="0" fontId="17" fillId="7" borderId="0" applyNumberFormat="0" applyBorder="0" applyAlignment="0" applyProtection="0"/>
    <xf numFmtId="0" fontId="17" fillId="13" borderId="0" applyNumberFormat="0" applyBorder="0" applyAlignment="0" applyProtection="0"/>
    <xf numFmtId="0" fontId="17" fillId="0" borderId="0"/>
    <xf numFmtId="0" fontId="17" fillId="32" borderId="17" applyNumberFormat="0" applyFont="0" applyAlignment="0" applyProtection="0"/>
    <xf numFmtId="0" fontId="17" fillId="2" borderId="0" applyNumberFormat="0" applyBorder="0" applyAlignment="0" applyProtection="0"/>
    <xf numFmtId="0" fontId="17" fillId="8" borderId="0" applyNumberFormat="0" applyBorder="0" applyAlignment="0" applyProtection="0"/>
    <xf numFmtId="0" fontId="17" fillId="3" borderId="0" applyNumberFormat="0" applyBorder="0" applyAlignment="0" applyProtection="0"/>
    <xf numFmtId="0" fontId="17" fillId="9" borderId="0" applyNumberFormat="0" applyBorder="0" applyAlignment="0" applyProtection="0"/>
    <xf numFmtId="0" fontId="17" fillId="4"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11" borderId="0" applyNumberFormat="0" applyBorder="0" applyAlignment="0" applyProtection="0"/>
    <xf numFmtId="0" fontId="17" fillId="6" borderId="0" applyNumberFormat="0" applyBorder="0" applyAlignment="0" applyProtection="0"/>
    <xf numFmtId="0" fontId="17" fillId="12" borderId="0" applyNumberFormat="0" applyBorder="0" applyAlignment="0" applyProtection="0"/>
    <xf numFmtId="0" fontId="17" fillId="7" borderId="0" applyNumberFormat="0" applyBorder="0" applyAlignment="0" applyProtection="0"/>
    <xf numFmtId="0" fontId="17" fillId="13"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43" fontId="22" fillId="0" borderId="0" applyFont="0" applyFill="0" applyBorder="0" applyAlignment="0" applyProtection="0"/>
    <xf numFmtId="0" fontId="25" fillId="0" borderId="0" applyNumberFormat="0" applyFill="0" applyBorder="0" applyAlignment="0" applyProtection="0">
      <alignment vertical="top"/>
      <protection locked="0"/>
    </xf>
    <xf numFmtId="0" fontId="16" fillId="0" borderId="0"/>
    <xf numFmtId="0" fontId="16" fillId="32" borderId="17" applyNumberFormat="0" applyFont="0" applyAlignment="0" applyProtection="0"/>
    <xf numFmtId="0" fontId="16" fillId="2" borderId="0" applyNumberFormat="0" applyBorder="0" applyAlignment="0" applyProtection="0"/>
    <xf numFmtId="0" fontId="16" fillId="8" borderId="0" applyNumberFormat="0" applyBorder="0" applyAlignment="0" applyProtection="0"/>
    <xf numFmtId="0" fontId="16" fillId="3" borderId="0" applyNumberFormat="0" applyBorder="0" applyAlignment="0" applyProtection="0"/>
    <xf numFmtId="0" fontId="16" fillId="9" borderId="0" applyNumberFormat="0" applyBorder="0" applyAlignment="0" applyProtection="0"/>
    <xf numFmtId="0" fontId="16" fillId="4"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11" borderId="0" applyNumberFormat="0" applyBorder="0" applyAlignment="0" applyProtection="0"/>
    <xf numFmtId="0" fontId="16" fillId="6" borderId="0" applyNumberFormat="0" applyBorder="0" applyAlignment="0" applyProtection="0"/>
    <xf numFmtId="0" fontId="16" fillId="12" borderId="0" applyNumberFormat="0" applyBorder="0" applyAlignment="0" applyProtection="0"/>
    <xf numFmtId="0" fontId="16" fillId="7" borderId="0" applyNumberFormat="0" applyBorder="0" applyAlignment="0" applyProtection="0"/>
    <xf numFmtId="0" fontId="16" fillId="13" borderId="0" applyNumberFormat="0" applyBorder="0" applyAlignment="0" applyProtection="0"/>
    <xf numFmtId="0" fontId="15" fillId="0" borderId="0"/>
    <xf numFmtId="0" fontId="14" fillId="0" borderId="0"/>
    <xf numFmtId="0" fontId="13" fillId="0" borderId="0"/>
    <xf numFmtId="43" fontId="13" fillId="0" borderId="0" applyFont="0" applyFill="0" applyBorder="0" applyAlignment="0" applyProtection="0"/>
    <xf numFmtId="0" fontId="12" fillId="0" borderId="0"/>
    <xf numFmtId="43" fontId="12" fillId="0" borderId="0" applyFont="0" applyFill="0" applyBorder="0" applyAlignment="0" applyProtection="0"/>
    <xf numFmtId="0" fontId="12" fillId="32" borderId="17" applyNumberFormat="0" applyFont="0" applyAlignment="0" applyProtection="0"/>
    <xf numFmtId="0" fontId="12" fillId="2" borderId="0" applyNumberFormat="0" applyBorder="0" applyAlignment="0" applyProtection="0"/>
    <xf numFmtId="0" fontId="12" fillId="8" borderId="0" applyNumberFormat="0" applyBorder="0" applyAlignment="0" applyProtection="0"/>
    <xf numFmtId="0" fontId="12" fillId="3" borderId="0" applyNumberFormat="0" applyBorder="0" applyAlignment="0" applyProtection="0"/>
    <xf numFmtId="0" fontId="12" fillId="9" borderId="0" applyNumberFormat="0" applyBorder="0" applyAlignment="0" applyProtection="0"/>
    <xf numFmtId="0" fontId="12" fillId="4"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11" borderId="0" applyNumberFormat="0" applyBorder="0" applyAlignment="0" applyProtection="0"/>
    <xf numFmtId="9" fontId="12" fillId="0" borderId="0" applyFont="0" applyFill="0" applyBorder="0" applyAlignment="0" applyProtection="0"/>
    <xf numFmtId="0" fontId="12" fillId="6" borderId="0" applyNumberFormat="0" applyBorder="0" applyAlignment="0" applyProtection="0"/>
    <xf numFmtId="0" fontId="12" fillId="12" borderId="0" applyNumberFormat="0" applyBorder="0" applyAlignment="0" applyProtection="0"/>
    <xf numFmtId="0" fontId="12" fillId="7" borderId="0" applyNumberFormat="0" applyBorder="0" applyAlignment="0" applyProtection="0"/>
    <xf numFmtId="0" fontId="12" fillId="13" borderId="0" applyNumberFormat="0" applyBorder="0" applyAlignment="0" applyProtection="0"/>
    <xf numFmtId="0" fontId="11" fillId="0" borderId="0"/>
    <xf numFmtId="0" fontId="11" fillId="32" borderId="17" applyNumberFormat="0" applyFont="0" applyAlignment="0" applyProtection="0"/>
    <xf numFmtId="0" fontId="11" fillId="2" borderId="0" applyNumberFormat="0" applyBorder="0" applyAlignment="0" applyProtection="0"/>
    <xf numFmtId="0" fontId="11" fillId="8" borderId="0" applyNumberFormat="0" applyBorder="0" applyAlignment="0" applyProtection="0"/>
    <xf numFmtId="0" fontId="11" fillId="3" borderId="0" applyNumberFormat="0" applyBorder="0" applyAlignment="0" applyProtection="0"/>
    <xf numFmtId="0" fontId="11" fillId="9" borderId="0" applyNumberFormat="0" applyBorder="0" applyAlignment="0" applyProtection="0"/>
    <xf numFmtId="0" fontId="11" fillId="4"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11" borderId="0" applyNumberFormat="0" applyBorder="0" applyAlignment="0" applyProtection="0"/>
    <xf numFmtId="0" fontId="11" fillId="6" borderId="0" applyNumberFormat="0" applyBorder="0" applyAlignment="0" applyProtection="0"/>
    <xf numFmtId="0" fontId="11" fillId="12" borderId="0" applyNumberFormat="0" applyBorder="0" applyAlignment="0" applyProtection="0"/>
    <xf numFmtId="0" fontId="11" fillId="7" borderId="0" applyNumberFormat="0" applyBorder="0" applyAlignment="0" applyProtection="0"/>
    <xf numFmtId="0" fontId="11" fillId="13" borderId="0" applyNumberFormat="0" applyBorder="0" applyAlignment="0" applyProtection="0"/>
    <xf numFmtId="0" fontId="10" fillId="0" borderId="0"/>
    <xf numFmtId="0" fontId="10" fillId="32" borderId="17" applyNumberFormat="0" applyFont="0" applyAlignment="0" applyProtection="0"/>
    <xf numFmtId="0" fontId="10" fillId="2" borderId="0" applyNumberFormat="0" applyBorder="0" applyAlignment="0" applyProtection="0"/>
    <xf numFmtId="0" fontId="10" fillId="8" borderId="0" applyNumberFormat="0" applyBorder="0" applyAlignment="0" applyProtection="0"/>
    <xf numFmtId="0" fontId="10" fillId="3" borderId="0" applyNumberFormat="0" applyBorder="0" applyAlignment="0" applyProtection="0"/>
    <xf numFmtId="0" fontId="10" fillId="9" borderId="0" applyNumberFormat="0" applyBorder="0" applyAlignment="0" applyProtection="0"/>
    <xf numFmtId="0" fontId="10" fillId="4"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12" borderId="0" applyNumberFormat="0" applyBorder="0" applyAlignment="0" applyProtection="0"/>
    <xf numFmtId="0" fontId="10" fillId="7" borderId="0" applyNumberFormat="0" applyBorder="0" applyAlignment="0" applyProtection="0"/>
    <xf numFmtId="0" fontId="10" fillId="13" borderId="0" applyNumberFormat="0" applyBorder="0" applyAlignment="0" applyProtection="0"/>
    <xf numFmtId="0" fontId="55" fillId="0" borderId="0"/>
    <xf numFmtId="0" fontId="8" fillId="0" borderId="0"/>
    <xf numFmtId="0" fontId="8" fillId="32" borderId="17" applyNumberFormat="0" applyFont="0" applyAlignment="0" applyProtection="0"/>
    <xf numFmtId="0" fontId="8" fillId="2" borderId="0" applyNumberFormat="0" applyBorder="0" applyAlignment="0" applyProtection="0"/>
    <xf numFmtId="0" fontId="8" fillId="8"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7" fillId="32" borderId="17" applyNumberFormat="0" applyFont="0" applyAlignment="0" applyProtection="0"/>
    <xf numFmtId="0" fontId="7" fillId="2"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9" borderId="0" applyNumberFormat="0" applyBorder="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6" fillId="0" borderId="0"/>
    <xf numFmtId="0" fontId="6" fillId="32" borderId="17" applyNumberFormat="0" applyFont="0" applyAlignment="0" applyProtection="0"/>
    <xf numFmtId="0" fontId="6" fillId="2"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5" fillId="0" borderId="0"/>
    <xf numFmtId="0" fontId="5" fillId="32" borderId="17" applyNumberFormat="0" applyFont="0" applyAlignment="0" applyProtection="0"/>
    <xf numFmtId="0" fontId="5" fillId="2"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4"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7" applyNumberFormat="0" applyFont="0" applyAlignment="0" applyProtection="0"/>
    <xf numFmtId="0" fontId="3" fillId="0" borderId="0"/>
    <xf numFmtId="0" fontId="60" fillId="0" borderId="0" applyNumberFormat="0" applyFill="0" applyBorder="0" applyAlignment="0" applyProtection="0"/>
    <xf numFmtId="0" fontId="3" fillId="32" borderId="17"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9" fontId="61" fillId="0" borderId="0" applyFont="0" applyFill="0" applyBorder="0" applyAlignment="0" applyProtection="0"/>
    <xf numFmtId="44" fontId="62" fillId="0" borderId="0" applyFont="0" applyFill="0" applyBorder="0" applyAlignment="0" applyProtection="0"/>
    <xf numFmtId="0" fontId="1" fillId="0" borderId="0"/>
  </cellStyleXfs>
  <cellXfs count="453">
    <xf numFmtId="0" fontId="0" fillId="0" borderId="0" xfId="0"/>
    <xf numFmtId="17" fontId="0" fillId="0" borderId="0" xfId="0" applyNumberFormat="1"/>
    <xf numFmtId="0" fontId="24" fillId="0" borderId="1" xfId="0" applyFont="1" applyBorder="1" applyAlignment="1">
      <alignment horizontal="right"/>
    </xf>
    <xf numFmtId="3" fontId="0" fillId="0" borderId="0" xfId="0" applyNumberFormat="1"/>
    <xf numFmtId="0" fontId="24" fillId="0" borderId="0" xfId="0" applyFont="1" applyFill="1" applyBorder="1" applyAlignment="1">
      <alignment horizontal="right"/>
    </xf>
    <xf numFmtId="0" fontId="24" fillId="0" borderId="1" xfId="0" applyFont="1" applyFill="1" applyBorder="1" applyAlignment="1">
      <alignment horizontal="right"/>
    </xf>
    <xf numFmtId="165" fontId="0" fillId="0" borderId="0" xfId="0" applyNumberFormat="1"/>
    <xf numFmtId="0" fontId="24" fillId="0" borderId="0" xfId="0" applyFont="1"/>
    <xf numFmtId="0" fontId="0" fillId="0" borderId="0" xfId="0" applyBorder="1"/>
    <xf numFmtId="0" fontId="24" fillId="0" borderId="0" xfId="0" applyFont="1" applyAlignment="1">
      <alignment horizontal="right"/>
    </xf>
    <xf numFmtId="0" fontId="24" fillId="0" borderId="1" xfId="0" quotePrefix="1" applyFont="1" applyBorder="1" applyAlignment="1">
      <alignment horizontal="right"/>
    </xf>
    <xf numFmtId="0" fontId="24" fillId="0" borderId="1" xfId="0" quotePrefix="1" applyFont="1" applyBorder="1" applyAlignment="1">
      <alignment horizontal="center"/>
    </xf>
    <xf numFmtId="166" fontId="0" fillId="0" borderId="0" xfId="0" applyNumberFormat="1"/>
    <xf numFmtId="0" fontId="0" fillId="0" borderId="0" xfId="0" applyAlignment="1">
      <alignment horizontal="right"/>
    </xf>
    <xf numFmtId="3" fontId="0" fillId="0" borderId="2" xfId="0" applyNumberFormat="1" applyBorder="1"/>
    <xf numFmtId="0" fontId="0" fillId="0" borderId="3" xfId="0" applyBorder="1"/>
    <xf numFmtId="3" fontId="0" fillId="0" borderId="3" xfId="0" applyNumberFormat="1" applyBorder="1"/>
    <xf numFmtId="0" fontId="0" fillId="0" borderId="0" xfId="0" applyFill="1"/>
    <xf numFmtId="0" fontId="26" fillId="0" borderId="0" xfId="0" applyFont="1"/>
    <xf numFmtId="0" fontId="0" fillId="0" borderId="0" xfId="0" applyAlignment="1">
      <alignment horizontal="center"/>
    </xf>
    <xf numFmtId="10" fontId="0" fillId="0" borderId="0" xfId="0" applyNumberFormat="1" applyAlignment="1">
      <alignment horizontal="center"/>
    </xf>
    <xf numFmtId="0" fontId="27" fillId="0" borderId="0" xfId="0" applyFont="1" applyAlignment="1">
      <alignment horizontal="center"/>
    </xf>
    <xf numFmtId="0" fontId="0" fillId="0" borderId="0" xfId="0" applyAlignment="1">
      <alignment horizontal="center" vertical="center"/>
    </xf>
    <xf numFmtId="0" fontId="27" fillId="0" borderId="0" xfId="0" applyFont="1" applyBorder="1" applyAlignment="1">
      <alignment horizontal="center" vertical="center"/>
    </xf>
    <xf numFmtId="10" fontId="0" fillId="0" borderId="0" xfId="0" applyNumberFormat="1" applyBorder="1" applyAlignment="1">
      <alignment horizontal="center"/>
    </xf>
    <xf numFmtId="0" fontId="0" fillId="0" borderId="4" xfId="0" applyBorder="1"/>
    <xf numFmtId="0" fontId="0" fillId="0" borderId="0" xfId="0" applyAlignment="1">
      <alignment horizontal="center" vertical="center" wrapText="1"/>
    </xf>
    <xf numFmtId="17" fontId="0" fillId="0" borderId="0" xfId="0" applyNumberFormat="1" applyAlignment="1">
      <alignment horizontal="center"/>
    </xf>
    <xf numFmtId="0" fontId="24" fillId="0" borderId="0" xfId="0" applyFont="1" applyAlignment="1">
      <alignment horizontal="left"/>
    </xf>
    <xf numFmtId="0" fontId="24" fillId="0" borderId="0" xfId="34" applyFont="1" applyAlignment="1" applyProtection="1"/>
    <xf numFmtId="16" fontId="0" fillId="0" borderId="0" xfId="0" applyNumberFormat="1"/>
    <xf numFmtId="0" fontId="24" fillId="0" borderId="0" xfId="0" applyFont="1" applyFill="1"/>
    <xf numFmtId="0" fontId="24" fillId="0" borderId="1" xfId="0" applyFont="1" applyBorder="1" applyAlignment="1">
      <alignment horizontal="right" wrapText="1"/>
    </xf>
    <xf numFmtId="0" fontId="0" fillId="0" borderId="0" xfId="0" applyAlignment="1">
      <alignment wrapText="1"/>
    </xf>
    <xf numFmtId="0" fontId="0" fillId="0" borderId="0" xfId="0" applyAlignment="1">
      <alignment horizontal="left" wrapText="1"/>
    </xf>
    <xf numFmtId="3" fontId="0" fillId="0" borderId="0" xfId="0" applyNumberFormat="1" applyBorder="1"/>
    <xf numFmtId="17" fontId="0" fillId="0" borderId="0" xfId="0" applyNumberFormat="1" applyFill="1"/>
    <xf numFmtId="3" fontId="0" fillId="0" borderId="0" xfId="0" applyNumberFormat="1" applyFill="1"/>
    <xf numFmtId="166" fontId="0" fillId="0" borderId="0" xfId="0" applyNumberFormat="1" applyFill="1"/>
    <xf numFmtId="0" fontId="0" fillId="0" borderId="0" xfId="0" applyFill="1" applyAlignment="1">
      <alignment horizontal="right"/>
    </xf>
    <xf numFmtId="0" fontId="22" fillId="0" borderId="0" xfId="0" applyFont="1" applyFill="1" applyAlignment="1">
      <alignment horizontal="center"/>
    </xf>
    <xf numFmtId="0" fontId="22" fillId="0" borderId="0" xfId="34" applyFont="1" applyAlignment="1" applyProtection="1">
      <alignment horizontal="center"/>
    </xf>
    <xf numFmtId="0" fontId="27" fillId="0" borderId="0" xfId="0" applyFont="1" applyAlignment="1">
      <alignment horizontal="center" wrapText="1"/>
    </xf>
    <xf numFmtId="0" fontId="0" fillId="0" borderId="0" xfId="0" applyBorder="1" applyAlignment="1">
      <alignment vertical="top" wrapText="1"/>
    </xf>
    <xf numFmtId="3" fontId="0" fillId="0" borderId="0" xfId="0" applyNumberFormat="1" applyBorder="1" applyAlignment="1">
      <alignment vertical="top" wrapText="1"/>
    </xf>
    <xf numFmtId="0" fontId="24" fillId="0" borderId="0" xfId="0" applyFont="1" applyAlignment="1">
      <alignment wrapText="1"/>
    </xf>
    <xf numFmtId="10" fontId="0" fillId="0" borderId="0" xfId="0" applyNumberFormat="1"/>
    <xf numFmtId="1" fontId="0" fillId="0" borderId="0" xfId="0" applyNumberFormat="1"/>
    <xf numFmtId="0" fontId="0" fillId="0" borderId="0" xfId="0" applyFill="1" applyBorder="1" applyAlignment="1">
      <alignment vertical="top" wrapText="1"/>
    </xf>
    <xf numFmtId="167" fontId="0" fillId="0" borderId="0" xfId="0" applyNumberFormat="1"/>
    <xf numFmtId="2" fontId="0" fillId="0" borderId="0" xfId="0" applyNumberFormat="1"/>
    <xf numFmtId="1" fontId="0" fillId="0" borderId="0" xfId="0" applyNumberFormat="1" applyBorder="1" applyAlignment="1">
      <alignment vertical="top" wrapText="1"/>
    </xf>
    <xf numFmtId="3" fontId="30" fillId="0" borderId="0" xfId="0" applyNumberFormat="1" applyFont="1" applyFill="1" applyBorder="1" applyAlignment="1">
      <alignment horizontal="right" vertical="center"/>
    </xf>
    <xf numFmtId="165" fontId="30" fillId="0" borderId="0" xfId="0" applyNumberFormat="1" applyFont="1" applyFill="1" applyBorder="1" applyAlignment="1">
      <alignment horizontal="right" vertical="center"/>
    </xf>
    <xf numFmtId="168" fontId="0" fillId="0" borderId="0" xfId="0" applyNumberFormat="1"/>
    <xf numFmtId="0" fontId="24" fillId="0" borderId="0" xfId="0" applyFont="1" applyBorder="1" applyAlignment="1">
      <alignment horizontal="right"/>
    </xf>
    <xf numFmtId="0" fontId="24" fillId="0" borderId="3" xfId="0" applyFont="1" applyFill="1" applyBorder="1" applyAlignment="1">
      <alignment horizontal="right" wrapText="1"/>
    </xf>
    <xf numFmtId="0" fontId="24" fillId="0" borderId="9" xfId="0" applyFont="1" applyBorder="1" applyAlignment="1">
      <alignment horizontal="center" vertical="center" wrapText="1"/>
    </xf>
    <xf numFmtId="0" fontId="24" fillId="0" borderId="0" xfId="0" applyFont="1" applyFill="1" applyBorder="1" applyAlignment="1">
      <alignment horizontal="right" wrapText="1"/>
    </xf>
    <xf numFmtId="0" fontId="24" fillId="0" borderId="0" xfId="0" quotePrefix="1" applyFont="1" applyBorder="1" applyAlignment="1">
      <alignment horizontal="right"/>
    </xf>
    <xf numFmtId="0" fontId="24" fillId="0" borderId="0" xfId="0" quotePrefix="1" applyFont="1" applyFill="1" applyBorder="1" applyAlignment="1">
      <alignment horizontal="right"/>
    </xf>
    <xf numFmtId="14" fontId="0" fillId="0" borderId="0" xfId="0" applyNumberFormat="1"/>
    <xf numFmtId="0" fontId="0" fillId="0" borderId="0" xfId="0" applyFill="1" applyBorder="1"/>
    <xf numFmtId="17" fontId="0" fillId="0" borderId="0" xfId="0" applyNumberFormat="1" applyBorder="1"/>
    <xf numFmtId="10" fontId="0" fillId="0" borderId="0" xfId="0" applyNumberFormat="1" applyAlignment="1">
      <alignment horizontal="right"/>
    </xf>
    <xf numFmtId="167" fontId="0" fillId="0" borderId="0" xfId="0" applyNumberFormat="1" applyBorder="1"/>
    <xf numFmtId="17" fontId="26" fillId="0" borderId="0" xfId="0" applyNumberFormat="1" applyFont="1" applyBorder="1" applyAlignment="1">
      <alignment horizontal="right"/>
    </xf>
    <xf numFmtId="1" fontId="26" fillId="0" borderId="0" xfId="0" applyNumberFormat="1" applyFont="1" applyFill="1" applyBorder="1" applyAlignment="1">
      <alignment horizontal="right"/>
    </xf>
    <xf numFmtId="169" fontId="0" fillId="0" borderId="0" xfId="0" applyNumberFormat="1"/>
    <xf numFmtId="165" fontId="0" fillId="0" borderId="0" xfId="0" applyNumberFormat="1" applyBorder="1"/>
    <xf numFmtId="0" fontId="27" fillId="0" borderId="0" xfId="0" applyFont="1" applyBorder="1" applyAlignment="1">
      <alignment horizontal="center" vertical="top" wrapText="1"/>
    </xf>
    <xf numFmtId="0" fontId="24" fillId="0" borderId="0" xfId="0" applyFont="1" applyBorder="1" applyAlignment="1">
      <alignment horizontal="right" wrapText="1"/>
    </xf>
    <xf numFmtId="0" fontId="0" fillId="0" borderId="0" xfId="0" applyBorder="1" applyAlignment="1">
      <alignment wrapText="1"/>
    </xf>
    <xf numFmtId="3" fontId="0" fillId="0" borderId="0" xfId="0" applyNumberFormat="1"/>
    <xf numFmtId="169" fontId="26" fillId="0" borderId="0" xfId="0" applyNumberFormat="1" applyFont="1" applyFill="1" applyBorder="1" applyAlignment="1">
      <alignment horizontal="right"/>
    </xf>
    <xf numFmtId="3" fontId="0" fillId="0" borderId="8" xfId="0" applyNumberFormat="1" applyBorder="1"/>
    <xf numFmtId="0" fontId="22" fillId="0" borderId="0" xfId="0" quotePrefix="1" applyFont="1" applyAlignment="1">
      <alignment horizontal="center"/>
    </xf>
    <xf numFmtId="17" fontId="22" fillId="0" borderId="0" xfId="0" applyNumberFormat="1" applyFont="1" applyBorder="1"/>
    <xf numFmtId="3" fontId="22" fillId="0" borderId="0" xfId="0" applyNumberFormat="1" applyFont="1" applyBorder="1"/>
    <xf numFmtId="0" fontId="22" fillId="0" borderId="0" xfId="0" applyFont="1" applyBorder="1"/>
    <xf numFmtId="3" fontId="22" fillId="0" borderId="0" xfId="0" applyNumberFormat="1" applyFont="1" applyAlignment="1">
      <alignment horizontal="right"/>
    </xf>
    <xf numFmtId="169" fontId="22" fillId="0" borderId="0" xfId="0" applyNumberFormat="1" applyFont="1" applyFill="1" applyBorder="1" applyAlignment="1">
      <alignment horizontal="right"/>
    </xf>
    <xf numFmtId="1" fontId="22" fillId="0" borderId="0" xfId="0" applyNumberFormat="1" applyFont="1" applyFill="1" applyBorder="1" applyAlignment="1">
      <alignment horizontal="right"/>
    </xf>
    <xf numFmtId="0" fontId="0" fillId="0" borderId="0" xfId="0" quotePrefix="1" applyAlignment="1">
      <alignment horizontal="center"/>
    </xf>
    <xf numFmtId="3" fontId="22" fillId="0" borderId="0" xfId="0" applyNumberFormat="1" applyFont="1" applyFill="1" applyBorder="1"/>
    <xf numFmtId="0" fontId="22" fillId="0" borderId="0" xfId="0" applyFont="1" applyBorder="1" applyAlignment="1">
      <alignment vertical="top" wrapText="1"/>
    </xf>
    <xf numFmtId="0" fontId="22" fillId="0" borderId="0" xfId="0" applyFont="1" applyAlignment="1">
      <alignment horizontal="center"/>
    </xf>
    <xf numFmtId="169" fontId="22" fillId="0" borderId="0" xfId="0" applyNumberFormat="1" applyFont="1"/>
    <xf numFmtId="3" fontId="0" fillId="0" borderId="0" xfId="0" applyNumberFormat="1" applyAlignment="1">
      <alignment horizontal="right"/>
    </xf>
    <xf numFmtId="171" fontId="0" fillId="0" borderId="0" xfId="0" applyNumberFormat="1"/>
    <xf numFmtId="0" fontId="24" fillId="0" borderId="1" xfId="0" applyFont="1" applyBorder="1" applyAlignment="1">
      <alignment horizontal="center" vertical="center" wrapText="1"/>
    </xf>
    <xf numFmtId="169" fontId="0" fillId="0" borderId="7" xfId="0" applyNumberFormat="1" applyBorder="1"/>
    <xf numFmtId="169" fontId="0" fillId="0" borderId="2" xfId="0" applyNumberFormat="1" applyBorder="1"/>
    <xf numFmtId="0" fontId="24" fillId="0" borderId="0" xfId="0" applyFont="1" applyAlignment="1">
      <alignment horizontal="center"/>
    </xf>
    <xf numFmtId="0" fontId="22" fillId="0" borderId="0" xfId="0" applyFont="1"/>
    <xf numFmtId="3" fontId="22" fillId="0" borderId="0" xfId="0" applyNumberFormat="1" applyFont="1"/>
    <xf numFmtId="17" fontId="22" fillId="0" borderId="0" xfId="0" applyNumberFormat="1" applyFont="1"/>
    <xf numFmtId="0" fontId="24" fillId="0" borderId="0" xfId="0" applyFont="1" applyBorder="1" applyAlignment="1">
      <alignment horizontal="center" vertical="top" wrapText="1"/>
    </xf>
    <xf numFmtId="0" fontId="22" fillId="0" borderId="0" xfId="0" applyFont="1" applyAlignment="1">
      <alignment wrapText="1"/>
    </xf>
    <xf numFmtId="172" fontId="22" fillId="0" borderId="0" xfId="0" applyNumberFormat="1" applyFont="1"/>
    <xf numFmtId="168" fontId="0" fillId="0" borderId="0" xfId="0" applyNumberFormat="1" applyBorder="1"/>
    <xf numFmtId="0" fontId="46" fillId="0" borderId="0" xfId="0" applyFont="1" applyFill="1"/>
    <xf numFmtId="3" fontId="30" fillId="0" borderId="0" xfId="0" applyNumberFormat="1" applyFont="1" applyBorder="1"/>
    <xf numFmtId="0" fontId="46" fillId="0" borderId="0" xfId="0" applyFont="1" applyFill="1" applyBorder="1"/>
    <xf numFmtId="0" fontId="46" fillId="0" borderId="0" xfId="0" applyFont="1" applyFill="1" applyBorder="1" applyAlignment="1">
      <alignment horizontal="center"/>
    </xf>
    <xf numFmtId="0" fontId="46" fillId="0" borderId="0" xfId="0" applyFont="1" applyFill="1" applyBorder="1" applyAlignment="1">
      <alignment horizontal="right"/>
    </xf>
    <xf numFmtId="2" fontId="46" fillId="0" borderId="0" xfId="0" applyNumberFormat="1" applyFont="1" applyFill="1" applyBorder="1"/>
    <xf numFmtId="2" fontId="0" fillId="0" borderId="0" xfId="0" applyNumberFormat="1" applyFill="1" applyBorder="1"/>
    <xf numFmtId="0" fontId="46" fillId="0" borderId="0" xfId="0" applyFont="1" applyFill="1" applyBorder="1" applyAlignment="1"/>
    <xf numFmtId="0" fontId="0" fillId="0" borderId="0" xfId="0" applyAlignment="1">
      <alignment textRotation="180"/>
    </xf>
    <xf numFmtId="0" fontId="0" fillId="0" borderId="0" xfId="0" applyAlignment="1">
      <alignment vertical="top" textRotation="180"/>
    </xf>
    <xf numFmtId="0" fontId="0" fillId="0" borderId="0" xfId="0" applyAlignment="1">
      <alignment vertical="center" textRotation="180"/>
    </xf>
    <xf numFmtId="0" fontId="0" fillId="0" borderId="0" xfId="0" applyAlignment="1">
      <alignment horizontal="center" vertical="center" textRotation="180"/>
    </xf>
    <xf numFmtId="0" fontId="0" fillId="0" borderId="0" xfId="0" applyAlignment="1">
      <alignment horizontal="center" vertical="top" textRotation="180"/>
    </xf>
    <xf numFmtId="0" fontId="0" fillId="0" borderId="0" xfId="0" applyAlignment="1">
      <alignment vertical="top"/>
    </xf>
    <xf numFmtId="0" fontId="24" fillId="0" borderId="0" xfId="0" applyFont="1" applyAlignment="1">
      <alignment horizontal="left"/>
    </xf>
    <xf numFmtId="0" fontId="27" fillId="0" borderId="20" xfId="0" applyFont="1" applyBorder="1" applyAlignment="1">
      <alignment horizontal="center" vertical="center"/>
    </xf>
    <xf numFmtId="17" fontId="0" fillId="0" borderId="21" xfId="0" applyNumberFormat="1" applyBorder="1" applyAlignment="1">
      <alignment horizontal="center"/>
    </xf>
    <xf numFmtId="10" fontId="0" fillId="0" borderId="21" xfId="0" applyNumberFormat="1" applyBorder="1" applyAlignment="1">
      <alignment horizontal="center"/>
    </xf>
    <xf numFmtId="0" fontId="0" fillId="0" borderId="22" xfId="0" applyBorder="1"/>
    <xf numFmtId="169" fontId="0" fillId="0" borderId="8" xfId="0" applyNumberFormat="1" applyBorder="1"/>
    <xf numFmtId="169" fontId="0" fillId="0" borderId="3" xfId="0" applyNumberFormat="1" applyBorder="1"/>
    <xf numFmtId="169" fontId="0" fillId="0" borderId="5" xfId="0" applyNumberFormat="1" applyBorder="1"/>
    <xf numFmtId="169" fontId="0" fillId="0" borderId="6" xfId="0" applyNumberFormat="1" applyBorder="1"/>
    <xf numFmtId="0" fontId="24" fillId="0" borderId="0" xfId="0" applyFont="1" applyAlignment="1">
      <alignment horizontal="left"/>
    </xf>
    <xf numFmtId="0" fontId="24" fillId="0" borderId="0" xfId="0" applyFont="1" applyAlignment="1">
      <alignment horizontal="left"/>
    </xf>
    <xf numFmtId="0" fontId="0" fillId="0" borderId="0" xfId="0" applyAlignment="1">
      <alignment horizontal="center" vertical="top" textRotation="180"/>
    </xf>
    <xf numFmtId="0" fontId="24" fillId="0" borderId="0" xfId="0" quotePrefix="1" applyFont="1" applyFill="1" applyBorder="1" applyAlignment="1">
      <alignment horizontal="center"/>
    </xf>
    <xf numFmtId="0" fontId="22" fillId="0" borderId="0" xfId="0" applyFont="1" applyFill="1" applyBorder="1"/>
    <xf numFmtId="165" fontId="0" fillId="0" borderId="0" xfId="0" applyNumberFormat="1" applyFill="1" applyBorder="1"/>
    <xf numFmtId="17" fontId="22" fillId="0" borderId="0" xfId="0" applyNumberFormat="1" applyFont="1" applyFill="1" applyBorder="1"/>
    <xf numFmtId="0" fontId="50" fillId="0" borderId="0" xfId="0" applyFont="1" applyFill="1" applyBorder="1"/>
    <xf numFmtId="4" fontId="0" fillId="0" borderId="0" xfId="0" applyNumberFormat="1" applyFill="1" applyBorder="1"/>
    <xf numFmtId="0" fontId="50" fillId="0" borderId="0" xfId="0" applyFont="1" applyFill="1" applyBorder="1" applyAlignment="1">
      <alignment horizontal="right"/>
    </xf>
    <xf numFmtId="0" fontId="24" fillId="0" borderId="0" xfId="0" applyFont="1" applyBorder="1" applyAlignment="1"/>
    <xf numFmtId="165" fontId="30" fillId="0" borderId="0" xfId="0" applyNumberFormat="1" applyFont="1" applyBorder="1"/>
    <xf numFmtId="169" fontId="11" fillId="0" borderId="0" xfId="400" applyNumberFormat="1"/>
    <xf numFmtId="0" fontId="22" fillId="0" borderId="0" xfId="0" applyFont="1" applyAlignment="1">
      <alignment horizontal="center" vertical="top" textRotation="180"/>
    </xf>
    <xf numFmtId="1" fontId="0" fillId="0" borderId="10" xfId="0" applyNumberFormat="1" applyFill="1" applyBorder="1"/>
    <xf numFmtId="1" fontId="0" fillId="0" borderId="0" xfId="0" applyNumberFormat="1" applyFill="1" applyBorder="1"/>
    <xf numFmtId="1" fontId="0" fillId="0" borderId="1" xfId="0" applyNumberFormat="1" applyFill="1" applyBorder="1"/>
    <xf numFmtId="173" fontId="53" fillId="0" borderId="0" xfId="0" applyNumberFormat="1" applyFont="1" applyFill="1" applyBorder="1" applyAlignment="1">
      <alignment horizontal="right" vertical="center"/>
    </xf>
    <xf numFmtId="3" fontId="51" fillId="0" borderId="0" xfId="0" applyNumberFormat="1" applyFont="1" applyFill="1" applyBorder="1"/>
    <xf numFmtId="0" fontId="51" fillId="0" borderId="0" xfId="0" applyFont="1" applyFill="1" applyBorder="1"/>
    <xf numFmtId="165" fontId="51" fillId="0" borderId="0" xfId="0" applyNumberFormat="1" applyFont="1" applyFill="1" applyBorder="1"/>
    <xf numFmtId="0" fontId="25" fillId="0" borderId="0" xfId="34" applyAlignment="1" applyProtection="1"/>
    <xf numFmtId="0" fontId="54" fillId="0" borderId="0" xfId="34" applyFont="1" applyAlignment="1" applyProtection="1"/>
    <xf numFmtId="3" fontId="46" fillId="0" borderId="0" xfId="0" applyNumberFormat="1" applyFont="1" applyFill="1" applyBorder="1" applyAlignment="1">
      <alignment horizontal="right"/>
    </xf>
    <xf numFmtId="3" fontId="24" fillId="0" borderId="0" xfId="0" applyNumberFormat="1" applyFont="1" applyBorder="1" applyAlignment="1">
      <alignment horizontal="right" wrapText="1"/>
    </xf>
    <xf numFmtId="1" fontId="22" fillId="0" borderId="0" xfId="0" applyNumberFormat="1" applyFont="1" applyBorder="1" applyAlignment="1">
      <alignment vertical="top" wrapText="1"/>
    </xf>
    <xf numFmtId="1" fontId="0" fillId="0" borderId="0" xfId="0" applyNumberFormat="1" applyBorder="1"/>
    <xf numFmtId="174" fontId="0" fillId="0" borderId="0" xfId="0" applyNumberFormat="1"/>
    <xf numFmtId="3" fontId="22" fillId="0" borderId="0" xfId="0" applyNumberFormat="1" applyFont="1" applyAlignment="1">
      <alignment horizontal="center"/>
    </xf>
    <xf numFmtId="0" fontId="56" fillId="0" borderId="0" xfId="0" applyFont="1" applyBorder="1" applyAlignment="1">
      <alignment vertical="top" wrapText="1"/>
    </xf>
    <xf numFmtId="0" fontId="56" fillId="0" borderId="0" xfId="0" applyFont="1"/>
    <xf numFmtId="0" fontId="56" fillId="0" borderId="0" xfId="0" applyFont="1" applyBorder="1"/>
    <xf numFmtId="0" fontId="57" fillId="0" borderId="0" xfId="0" applyFont="1" applyAlignment="1">
      <alignment horizontal="center" wrapText="1"/>
    </xf>
    <xf numFmtId="0" fontId="56" fillId="0" borderId="0" xfId="0" applyFont="1" applyFill="1"/>
    <xf numFmtId="0" fontId="57" fillId="0" borderId="0" xfId="0" applyFont="1" applyBorder="1" applyAlignment="1">
      <alignment horizontal="center" vertical="top" wrapText="1"/>
    </xf>
    <xf numFmtId="17" fontId="56" fillId="0" borderId="0" xfId="0" applyNumberFormat="1" applyFont="1"/>
    <xf numFmtId="3" fontId="56" fillId="0" borderId="0" xfId="0" applyNumberFormat="1" applyFont="1"/>
    <xf numFmtId="170" fontId="56" fillId="0" borderId="0" xfId="44" applyNumberFormat="1" applyFont="1"/>
    <xf numFmtId="0" fontId="56" fillId="0" borderId="0" xfId="0" quotePrefix="1" applyFont="1" applyAlignment="1">
      <alignment horizontal="center"/>
    </xf>
    <xf numFmtId="4" fontId="56" fillId="0" borderId="0" xfId="0" applyNumberFormat="1" applyFont="1"/>
    <xf numFmtId="3" fontId="56" fillId="0" borderId="0" xfId="0" applyNumberFormat="1" applyFont="1" applyBorder="1"/>
    <xf numFmtId="0" fontId="57" fillId="0" borderId="0" xfId="0" applyFont="1" applyBorder="1" applyAlignment="1"/>
    <xf numFmtId="0" fontId="57" fillId="0" borderId="0" xfId="0" applyFont="1" applyFill="1" applyBorder="1" applyAlignment="1">
      <alignment horizontal="right"/>
    </xf>
    <xf numFmtId="0" fontId="56" fillId="0" borderId="0" xfId="0" applyFont="1" applyFill="1" applyBorder="1"/>
    <xf numFmtId="2" fontId="56" fillId="0" borderId="0" xfId="0" applyNumberFormat="1" applyFont="1" applyFill="1" applyBorder="1"/>
    <xf numFmtId="0" fontId="0" fillId="0" borderId="1" xfId="0" applyBorder="1"/>
    <xf numFmtId="164" fontId="9" fillId="0" borderId="0" xfId="0" applyNumberFormat="1" applyFont="1" applyFill="1" applyBorder="1" applyAlignment="1"/>
    <xf numFmtId="0" fontId="24" fillId="0" borderId="0" xfId="0" applyFont="1" applyAlignment="1">
      <alignment horizontal="left"/>
    </xf>
    <xf numFmtId="0" fontId="24" fillId="0" borderId="0" xfId="0" applyFont="1" applyAlignment="1">
      <alignment horizontal="center"/>
    </xf>
    <xf numFmtId="0" fontId="24" fillId="0" borderId="0" xfId="0" applyFont="1" applyAlignment="1">
      <alignment horizontal="left" wrapText="1"/>
    </xf>
    <xf numFmtId="0" fontId="57" fillId="0" borderId="0" xfId="0" applyFont="1" applyAlignment="1">
      <alignment horizontal="center"/>
    </xf>
    <xf numFmtId="0" fontId="24" fillId="0" borderId="0" xfId="0" applyFont="1" applyBorder="1" applyAlignment="1">
      <alignment horizontal="center"/>
    </xf>
    <xf numFmtId="0" fontId="24" fillId="0" borderId="2" xfId="0" applyFont="1" applyBorder="1" applyAlignment="1">
      <alignment horizontal="center"/>
    </xf>
    <xf numFmtId="0" fontId="22" fillId="0" borderId="0" xfId="0" applyFont="1" applyAlignment="1">
      <alignment horizontal="center"/>
    </xf>
    <xf numFmtId="1" fontId="0" fillId="0" borderId="1" xfId="0" applyNumberFormat="1" applyBorder="1"/>
    <xf numFmtId="0" fontId="0" fillId="0" borderId="8" xfId="0" applyBorder="1"/>
    <xf numFmtId="0" fontId="0" fillId="0" borderId="7" xfId="0" applyBorder="1"/>
    <xf numFmtId="3" fontId="0" fillId="0" borderId="10" xfId="0" applyNumberFormat="1" applyBorder="1"/>
    <xf numFmtId="3" fontId="0" fillId="0" borderId="5" xfId="0" applyNumberFormat="1" applyBorder="1"/>
    <xf numFmtId="3" fontId="0" fillId="0" borderId="1" xfId="0" applyNumberFormat="1" applyBorder="1"/>
    <xf numFmtId="3" fontId="0" fillId="0" borderId="6" xfId="0" applyNumberFormat="1" applyBorder="1"/>
    <xf numFmtId="0" fontId="24" fillId="0" borderId="23" xfId="0" applyFont="1" applyBorder="1" applyAlignment="1">
      <alignment horizontal="right" wrapText="1"/>
    </xf>
    <xf numFmtId="0" fontId="24" fillId="0" borderId="24" xfId="0" applyFont="1" applyFill="1" applyBorder="1" applyAlignment="1">
      <alignment horizontal="right" wrapText="1"/>
    </xf>
    <xf numFmtId="0" fontId="24" fillId="0" borderId="26" xfId="0" applyFont="1" applyFill="1" applyBorder="1" applyAlignment="1">
      <alignment horizontal="right" wrapText="1"/>
    </xf>
    <xf numFmtId="17" fontId="0" fillId="0" borderId="21" xfId="0" applyNumberFormat="1" applyBorder="1"/>
    <xf numFmtId="17" fontId="0" fillId="0" borderId="22" xfId="0" applyNumberFormat="1" applyBorder="1"/>
    <xf numFmtId="3" fontId="0" fillId="0" borderId="7" xfId="0" applyNumberFormat="1" applyBorder="1"/>
    <xf numFmtId="0" fontId="57" fillId="0" borderId="0" xfId="0" applyFont="1" applyAlignment="1">
      <alignment horizontal="center"/>
    </xf>
    <xf numFmtId="0" fontId="24" fillId="0" borderId="0" xfId="0" applyFont="1" applyBorder="1" applyAlignment="1">
      <alignment horizontal="center"/>
    </xf>
    <xf numFmtId="0" fontId="24" fillId="0" borderId="3" xfId="0" applyFont="1" applyBorder="1" applyAlignment="1">
      <alignment horizontal="center"/>
    </xf>
    <xf numFmtId="1" fontId="0" fillId="0" borderId="3" xfId="0" applyNumberFormat="1" applyBorder="1"/>
    <xf numFmtId="0" fontId="24" fillId="0" borderId="0" xfId="0" applyFont="1" applyAlignment="1"/>
    <xf numFmtId="0" fontId="24" fillId="0" borderId="25" xfId="0" applyFont="1" applyBorder="1" applyAlignment="1">
      <alignment horizontal="right" wrapText="1"/>
    </xf>
    <xf numFmtId="0" fontId="27" fillId="0" borderId="29" xfId="0" applyFont="1" applyBorder="1" applyAlignment="1">
      <alignment horizontal="center" vertical="center" wrapText="1"/>
    </xf>
    <xf numFmtId="0" fontId="24" fillId="0" borderId="30" xfId="0" applyFont="1" applyBorder="1" applyAlignment="1">
      <alignment horizontal="center" vertical="center" wrapText="1"/>
    </xf>
    <xf numFmtId="0" fontId="24" fillId="0" borderId="29" xfId="0" applyFont="1" applyBorder="1" applyAlignment="1">
      <alignment horizontal="center" vertical="center" wrapText="1"/>
    </xf>
    <xf numFmtId="3" fontId="0" fillId="0" borderId="8" xfId="0" applyNumberFormat="1" applyBorder="1" applyAlignment="1">
      <alignment horizontal="center"/>
    </xf>
    <xf numFmtId="3" fontId="0" fillId="0" borderId="10" xfId="0" applyNumberFormat="1" applyBorder="1" applyAlignment="1">
      <alignment horizontal="center"/>
    </xf>
    <xf numFmtId="3" fontId="0" fillId="0" borderId="7" xfId="0" applyNumberFormat="1" applyBorder="1" applyAlignment="1">
      <alignment horizontal="center"/>
    </xf>
    <xf numFmtId="17" fontId="22" fillId="0" borderId="23" xfId="0" applyNumberFormat="1" applyFont="1" applyBorder="1" applyAlignment="1">
      <alignment horizontal="center"/>
    </xf>
    <xf numFmtId="0" fontId="24" fillId="0" borderId="0" xfId="0" applyFont="1" applyAlignment="1">
      <alignment horizontal="center"/>
    </xf>
    <xf numFmtId="174" fontId="30" fillId="0" borderId="0" xfId="0" applyNumberFormat="1" applyFont="1" applyFill="1" applyBorder="1" applyAlignment="1">
      <alignment horizontal="right" vertical="center"/>
    </xf>
    <xf numFmtId="0" fontId="0" fillId="0" borderId="10" xfId="0" applyBorder="1"/>
    <xf numFmtId="17" fontId="0" fillId="0" borderId="20" xfId="0" applyNumberFormat="1" applyBorder="1"/>
    <xf numFmtId="169" fontId="0" fillId="0" borderId="0" xfId="0" applyNumberFormat="1" applyBorder="1"/>
    <xf numFmtId="176" fontId="0" fillId="0" borderId="0" xfId="0" applyNumberFormat="1"/>
    <xf numFmtId="168" fontId="0" fillId="0" borderId="8" xfId="0" applyNumberFormat="1" applyBorder="1"/>
    <xf numFmtId="168" fontId="0" fillId="0" borderId="7" xfId="0" applyNumberFormat="1" applyBorder="1"/>
    <xf numFmtId="168" fontId="0" fillId="0" borderId="3" xfId="0" applyNumberFormat="1" applyBorder="1"/>
    <xf numFmtId="168" fontId="0" fillId="0" borderId="2" xfId="0" applyNumberFormat="1" applyBorder="1"/>
    <xf numFmtId="168" fontId="0" fillId="0" borderId="5" xfId="0" applyNumberFormat="1" applyBorder="1"/>
    <xf numFmtId="168" fontId="0" fillId="0" borderId="6" xfId="0" applyNumberFormat="1" applyBorder="1"/>
    <xf numFmtId="0" fontId="57" fillId="0" borderId="0" xfId="0" applyFont="1" applyBorder="1" applyAlignment="1">
      <alignment horizontal="right" wrapText="1"/>
    </xf>
    <xf numFmtId="0" fontId="57" fillId="0" borderId="0" xfId="0" applyFont="1" applyBorder="1" applyAlignment="1">
      <alignment horizontal="center" vertical="center" wrapText="1"/>
    </xf>
    <xf numFmtId="0" fontId="56" fillId="0" borderId="0" xfId="0" applyFont="1" applyAlignment="1">
      <alignment wrapText="1"/>
    </xf>
    <xf numFmtId="0" fontId="57" fillId="0" borderId="1" xfId="0" applyFont="1" applyBorder="1" applyAlignment="1">
      <alignment horizontal="center" vertical="center" wrapText="1"/>
    </xf>
    <xf numFmtId="1" fontId="56" fillId="0" borderId="0" xfId="0" applyNumberFormat="1" applyFont="1" applyBorder="1" applyAlignment="1">
      <alignment vertical="top" wrapText="1"/>
    </xf>
    <xf numFmtId="3" fontId="0" fillId="0" borderId="20" xfId="0" applyNumberFormat="1" applyBorder="1" applyAlignment="1">
      <alignment horizontal="center"/>
    </xf>
    <xf numFmtId="14" fontId="0" fillId="0" borderId="0" xfId="0" applyNumberFormat="1" applyBorder="1" applyAlignment="1">
      <alignment vertical="top" wrapText="1"/>
    </xf>
    <xf numFmtId="3" fontId="22" fillId="0" borderId="0" xfId="0" quotePrefix="1" applyNumberFormat="1" applyFont="1" applyAlignment="1">
      <alignment horizontal="right"/>
    </xf>
    <xf numFmtId="2" fontId="0" fillId="0" borderId="0" xfId="0" applyNumberFormat="1" applyAlignment="1">
      <alignment horizontal="center"/>
    </xf>
    <xf numFmtId="9" fontId="0" fillId="0" borderId="0" xfId="513" applyFont="1"/>
    <xf numFmtId="0" fontId="24" fillId="0" borderId="0" xfId="0" applyFont="1" applyAlignment="1">
      <alignment horizontal="left"/>
    </xf>
    <xf numFmtId="172" fontId="22" fillId="0" borderId="0" xfId="0" applyNumberFormat="1" applyFont="1" applyBorder="1" applyAlignment="1">
      <alignment vertical="top" wrapText="1"/>
    </xf>
    <xf numFmtId="177" fontId="0" fillId="0" borderId="0" xfId="0" applyNumberFormat="1"/>
    <xf numFmtId="17" fontId="22" fillId="0" borderId="44" xfId="0" applyNumberFormat="1" applyFont="1" applyBorder="1" applyAlignment="1">
      <alignment horizontal="center"/>
    </xf>
    <xf numFmtId="3" fontId="0" fillId="0" borderId="45" xfId="0" applyNumberFormat="1" applyBorder="1" applyAlignment="1">
      <alignment horizontal="center"/>
    </xf>
    <xf numFmtId="3" fontId="0" fillId="0" borderId="4" xfId="0" applyNumberFormat="1" applyBorder="1" applyAlignment="1">
      <alignment horizontal="center"/>
    </xf>
    <xf numFmtId="3" fontId="0" fillId="0" borderId="46" xfId="0" applyNumberFormat="1" applyBorder="1" applyAlignment="1">
      <alignment horizontal="center"/>
    </xf>
    <xf numFmtId="3" fontId="0" fillId="0" borderId="43" xfId="0" applyNumberFormat="1" applyBorder="1" applyAlignment="1">
      <alignment horizontal="center"/>
    </xf>
    <xf numFmtId="0" fontId="27" fillId="0" borderId="47" xfId="0" applyFont="1" applyBorder="1" applyAlignment="1">
      <alignment horizontal="center" vertical="center" wrapText="1"/>
    </xf>
    <xf numFmtId="17" fontId="22" fillId="0" borderId="48" xfId="0" applyNumberFormat="1" applyFont="1" applyBorder="1" applyAlignment="1">
      <alignment horizontal="center"/>
    </xf>
    <xf numFmtId="17" fontId="22" fillId="0" borderId="49" xfId="0" applyNumberFormat="1" applyFont="1" applyBorder="1" applyAlignment="1">
      <alignment horizontal="center"/>
    </xf>
    <xf numFmtId="0" fontId="24" fillId="33" borderId="0" xfId="0" applyFont="1" applyFill="1"/>
    <xf numFmtId="0" fontId="0" fillId="33" borderId="0" xfId="0" applyFill="1"/>
    <xf numFmtId="0" fontId="26" fillId="33" borderId="0" xfId="0" applyFont="1" applyFill="1"/>
    <xf numFmtId="168" fontId="26" fillId="33" borderId="0" xfId="0" applyNumberFormat="1" applyFont="1" applyFill="1"/>
    <xf numFmtId="168" fontId="26" fillId="33" borderId="0" xfId="0" applyNumberFormat="1" applyFont="1" applyFill="1" applyBorder="1"/>
    <xf numFmtId="0" fontId="26" fillId="33" borderId="0" xfId="0" applyFont="1" applyFill="1" applyBorder="1"/>
    <xf numFmtId="0" fontId="56" fillId="33" borderId="0" xfId="0" applyFont="1" applyFill="1"/>
    <xf numFmtId="0" fontId="56" fillId="33" borderId="0" xfId="0" applyFont="1" applyFill="1" applyBorder="1"/>
    <xf numFmtId="0" fontId="0" fillId="33" borderId="0" xfId="0" applyFill="1" applyBorder="1"/>
    <xf numFmtId="2" fontId="56" fillId="33" borderId="0" xfId="0" applyNumberFormat="1" applyFont="1" applyFill="1" applyBorder="1" applyAlignment="1">
      <alignment vertical="top" wrapText="1"/>
    </xf>
    <xf numFmtId="0" fontId="56" fillId="33" borderId="0" xfId="0" applyFont="1" applyFill="1" applyAlignment="1">
      <alignment horizontal="center"/>
    </xf>
    <xf numFmtId="0" fontId="56" fillId="33" borderId="0" xfId="0" applyFont="1" applyFill="1" applyBorder="1" applyAlignment="1">
      <alignment horizontal="center"/>
    </xf>
    <xf numFmtId="0" fontId="56" fillId="33" borderId="0" xfId="0" applyFont="1" applyFill="1" applyAlignment="1"/>
    <xf numFmtId="164" fontId="0" fillId="33" borderId="0" xfId="0" applyNumberFormat="1" applyFill="1"/>
    <xf numFmtId="168" fontId="52" fillId="33" borderId="20" xfId="0" applyNumberFormat="1" applyFont="1" applyFill="1" applyBorder="1" applyAlignment="1">
      <alignment horizontal="center" vertical="top" wrapText="1"/>
    </xf>
    <xf numFmtId="167" fontId="52" fillId="33" borderId="20" xfId="0" applyNumberFormat="1" applyFont="1" applyFill="1" applyBorder="1" applyAlignment="1">
      <alignment horizontal="center" vertical="top" wrapText="1"/>
    </xf>
    <xf numFmtId="0" fontId="52" fillId="33" borderId="20" xfId="0" applyFont="1" applyFill="1" applyBorder="1" applyAlignment="1">
      <alignment horizontal="center" vertical="top" wrapText="1"/>
    </xf>
    <xf numFmtId="2" fontId="56" fillId="33" borderId="20" xfId="0" applyNumberFormat="1" applyFont="1" applyFill="1" applyBorder="1" applyAlignment="1">
      <alignment vertical="top" wrapText="1"/>
    </xf>
    <xf numFmtId="168" fontId="26" fillId="33" borderId="0" xfId="0" applyNumberFormat="1" applyFont="1" applyFill="1" applyBorder="1" applyAlignment="1">
      <alignment horizontal="right"/>
    </xf>
    <xf numFmtId="168" fontId="0" fillId="33" borderId="0" xfId="0" applyNumberFormat="1" applyFill="1"/>
    <xf numFmtId="2" fontId="56" fillId="33" borderId="23" xfId="0" applyNumberFormat="1" applyFont="1" applyFill="1" applyBorder="1" applyAlignment="1">
      <alignment horizontal="center" vertical="top" wrapText="1"/>
    </xf>
    <xf numFmtId="0" fontId="0" fillId="33" borderId="0" xfId="0" applyFill="1" applyAlignment="1">
      <alignment horizontal="center"/>
    </xf>
    <xf numFmtId="2" fontId="56" fillId="33" borderId="20" xfId="0" applyNumberFormat="1" applyFont="1" applyFill="1" applyBorder="1" applyAlignment="1">
      <alignment horizontal="center" vertical="top" wrapText="1"/>
    </xf>
    <xf numFmtId="2" fontId="56" fillId="33" borderId="0" xfId="0" applyNumberFormat="1" applyFont="1" applyFill="1" applyBorder="1" applyAlignment="1">
      <alignment horizontal="center" vertical="top" wrapText="1"/>
    </xf>
    <xf numFmtId="168" fontId="5" fillId="33" borderId="8" xfId="470" applyNumberFormat="1" applyFill="1" applyBorder="1" applyAlignment="1">
      <alignment vertical="top" wrapText="1"/>
    </xf>
    <xf numFmtId="168" fontId="5" fillId="33" borderId="10" xfId="470" applyNumberFormat="1" applyFill="1" applyBorder="1" applyAlignment="1">
      <alignment vertical="top" wrapText="1"/>
    </xf>
    <xf numFmtId="168" fontId="5" fillId="33" borderId="7" xfId="470" applyNumberFormat="1" applyFill="1" applyBorder="1" applyAlignment="1">
      <alignment vertical="top" wrapText="1"/>
    </xf>
    <xf numFmtId="168" fontId="56" fillId="33" borderId="7" xfId="0" applyNumberFormat="1" applyFont="1" applyFill="1" applyBorder="1" applyAlignment="1">
      <alignment vertical="top" wrapText="1"/>
    </xf>
    <xf numFmtId="169" fontId="0" fillId="33" borderId="0" xfId="0" applyNumberFormat="1" applyFill="1"/>
    <xf numFmtId="0" fontId="0" fillId="33" borderId="0" xfId="0" applyFill="1" applyBorder="1" applyAlignment="1">
      <alignment vertical="top" wrapText="1"/>
    </xf>
    <xf numFmtId="0" fontId="56" fillId="33" borderId="8" xfId="0" applyFont="1" applyFill="1" applyBorder="1" applyAlignment="1">
      <alignment horizontal="right" vertical="center" wrapText="1"/>
    </xf>
    <xf numFmtId="169" fontId="56" fillId="33" borderId="20" xfId="0" applyNumberFormat="1" applyFont="1" applyFill="1" applyBorder="1" applyAlignment="1">
      <alignment horizontal="right" vertical="center" wrapText="1"/>
    </xf>
    <xf numFmtId="169" fontId="56" fillId="33" borderId="7" xfId="0" applyNumberFormat="1" applyFont="1" applyFill="1" applyBorder="1" applyAlignment="1">
      <alignment horizontal="right" vertical="center" wrapText="1"/>
    </xf>
    <xf numFmtId="169" fontId="56" fillId="33" borderId="0" xfId="0" applyNumberFormat="1" applyFont="1" applyFill="1" applyBorder="1" applyAlignment="1">
      <alignment horizontal="right" vertical="center" wrapText="1"/>
    </xf>
    <xf numFmtId="169" fontId="0" fillId="33" borderId="0" xfId="0" applyNumberFormat="1" applyFill="1" applyAlignment="1">
      <alignment horizontal="right"/>
    </xf>
    <xf numFmtId="0" fontId="56" fillId="33" borderId="3" xfId="0" applyFont="1" applyFill="1" applyBorder="1" applyAlignment="1">
      <alignment horizontal="right" vertical="center" wrapText="1"/>
    </xf>
    <xf numFmtId="164" fontId="56" fillId="33" borderId="21" xfId="0" applyNumberFormat="1" applyFont="1" applyFill="1" applyBorder="1" applyAlignment="1">
      <alignment horizontal="right" vertical="center" wrapText="1"/>
    </xf>
    <xf numFmtId="164" fontId="0" fillId="33" borderId="0" xfId="0" applyNumberFormat="1" applyFill="1" applyAlignment="1">
      <alignment horizontal="center"/>
    </xf>
    <xf numFmtId="164" fontId="56" fillId="33" borderId="3" xfId="0" applyNumberFormat="1" applyFont="1" applyFill="1" applyBorder="1" applyAlignment="1">
      <alignment horizontal="right" vertical="center" wrapText="1"/>
    </xf>
    <xf numFmtId="164" fontId="56" fillId="33" borderId="0" xfId="0" applyNumberFormat="1" applyFont="1" applyFill="1" applyBorder="1" applyAlignment="1">
      <alignment horizontal="center"/>
    </xf>
    <xf numFmtId="164" fontId="56" fillId="33" borderId="2" xfId="0" applyNumberFormat="1" applyFont="1" applyFill="1" applyBorder="1" applyAlignment="1">
      <alignment horizontal="right" vertical="center" wrapText="1"/>
    </xf>
    <xf numFmtId="164" fontId="56" fillId="33" borderId="8" xfId="0" applyNumberFormat="1" applyFont="1" applyFill="1" applyBorder="1" applyAlignment="1">
      <alignment horizontal="right" vertical="center" wrapText="1"/>
    </xf>
    <xf numFmtId="164" fontId="56" fillId="33" borderId="20" xfId="0" applyNumberFormat="1" applyFont="1" applyFill="1" applyBorder="1" applyAlignment="1">
      <alignment horizontal="right" vertical="center" wrapText="1"/>
    </xf>
    <xf numFmtId="169" fontId="56" fillId="33" borderId="2" xfId="0" applyNumberFormat="1" applyFont="1" applyFill="1" applyBorder="1"/>
    <xf numFmtId="169" fontId="56" fillId="33" borderId="0" xfId="0" applyNumberFormat="1" applyFont="1" applyFill="1" applyBorder="1"/>
    <xf numFmtId="168" fontId="56" fillId="33" borderId="8" xfId="0" applyNumberFormat="1" applyFont="1" applyFill="1" applyBorder="1" applyAlignment="1">
      <alignment horizontal="right" vertical="center" wrapText="1"/>
    </xf>
    <xf numFmtId="169" fontId="56" fillId="33" borderId="7" xfId="0" applyNumberFormat="1" applyFont="1" applyFill="1" applyBorder="1"/>
    <xf numFmtId="169" fontId="56" fillId="33" borderId="21" xfId="0" applyNumberFormat="1" applyFont="1" applyFill="1" applyBorder="1"/>
    <xf numFmtId="17" fontId="0" fillId="33" borderId="0" xfId="0" applyNumberFormat="1" applyFill="1"/>
    <xf numFmtId="168" fontId="5" fillId="33" borderId="3" xfId="470" applyNumberFormat="1" applyFill="1" applyBorder="1" applyAlignment="1">
      <alignment vertical="top" wrapText="1"/>
    </xf>
    <xf numFmtId="168" fontId="5" fillId="33" borderId="0" xfId="470" applyNumberFormat="1" applyFill="1" applyBorder="1" applyAlignment="1">
      <alignment vertical="top" wrapText="1"/>
    </xf>
    <xf numFmtId="168" fontId="5" fillId="33" borderId="2" xfId="470" applyNumberFormat="1" applyFill="1" applyBorder="1" applyAlignment="1">
      <alignment vertical="top" wrapText="1"/>
    </xf>
    <xf numFmtId="168" fontId="56" fillId="33" borderId="2" xfId="0" applyNumberFormat="1" applyFont="1" applyFill="1" applyBorder="1" applyAlignment="1">
      <alignment vertical="top" wrapText="1"/>
    </xf>
    <xf numFmtId="169" fontId="56" fillId="33" borderId="21" xfId="0" applyNumberFormat="1" applyFont="1" applyFill="1" applyBorder="1" applyAlignment="1">
      <alignment horizontal="right" vertical="center" wrapText="1"/>
    </xf>
    <xf numFmtId="169" fontId="56" fillId="33" borderId="2" xfId="0" applyNumberFormat="1" applyFont="1" applyFill="1" applyBorder="1" applyAlignment="1">
      <alignment horizontal="right" vertical="center" wrapText="1"/>
    </xf>
    <xf numFmtId="0" fontId="56" fillId="33" borderId="21" xfId="0" applyFont="1" applyFill="1" applyBorder="1" applyAlignment="1">
      <alignment horizontal="right" vertical="center" wrapText="1"/>
    </xf>
    <xf numFmtId="168" fontId="56" fillId="33" borderId="3" xfId="0" applyNumberFormat="1" applyFont="1" applyFill="1" applyBorder="1" applyAlignment="1">
      <alignment horizontal="right" vertical="center" wrapText="1"/>
    </xf>
    <xf numFmtId="168" fontId="2" fillId="33" borderId="3" xfId="470" applyNumberFormat="1" applyFont="1" applyFill="1" applyBorder="1" applyAlignment="1">
      <alignment vertical="top" wrapText="1"/>
    </xf>
    <xf numFmtId="0" fontId="22" fillId="33" borderId="0" xfId="0" applyFont="1" applyFill="1" applyBorder="1" applyAlignment="1">
      <alignment vertical="top" wrapText="1"/>
    </xf>
    <xf numFmtId="169" fontId="0" fillId="33" borderId="0" xfId="0" applyNumberFormat="1" applyFill="1" applyAlignment="1">
      <alignment vertical="center" textRotation="180"/>
    </xf>
    <xf numFmtId="0" fontId="3" fillId="33" borderId="3" xfId="498" applyFill="1" applyBorder="1" applyAlignment="1">
      <alignment horizontal="right" vertical="top" wrapText="1"/>
    </xf>
    <xf numFmtId="164" fontId="3" fillId="33" borderId="3" xfId="498" applyNumberFormat="1" applyFill="1" applyBorder="1" applyAlignment="1">
      <alignment horizontal="right" vertical="top" wrapText="1"/>
    </xf>
    <xf numFmtId="169" fontId="0" fillId="33" borderId="0" xfId="0" applyNumberFormat="1" applyFill="1" applyAlignment="1">
      <alignment horizontal="right" vertical="top" textRotation="180"/>
    </xf>
    <xf numFmtId="169" fontId="0" fillId="33" borderId="0" xfId="0" applyNumberFormat="1" applyFill="1" applyAlignment="1">
      <alignment vertical="center"/>
    </xf>
    <xf numFmtId="0" fontId="0" fillId="33" borderId="0" xfId="0" applyFill="1" applyAlignment="1">
      <alignment vertical="center"/>
    </xf>
    <xf numFmtId="169" fontId="0" fillId="33" borderId="0" xfId="0" applyNumberFormat="1" applyFill="1" applyAlignment="1">
      <alignment horizontal="right" vertical="center"/>
    </xf>
    <xf numFmtId="169" fontId="48" fillId="33" borderId="0" xfId="0" applyNumberFormat="1" applyFont="1" applyFill="1"/>
    <xf numFmtId="164" fontId="0" fillId="33" borderId="0" xfId="0" applyNumberFormat="1" applyFill="1" applyBorder="1"/>
    <xf numFmtId="169" fontId="0" fillId="33" borderId="0" xfId="0" applyNumberFormat="1" applyFill="1" applyBorder="1" applyAlignment="1">
      <alignment horizontal="right"/>
    </xf>
    <xf numFmtId="164" fontId="56" fillId="33" borderId="0" xfId="0" applyNumberFormat="1" applyFont="1" applyFill="1" applyBorder="1" applyAlignment="1">
      <alignment horizontal="right" vertical="center" wrapText="1"/>
    </xf>
    <xf numFmtId="168" fontId="5" fillId="33" borderId="5" xfId="470" applyNumberFormat="1" applyFill="1" applyBorder="1" applyAlignment="1">
      <alignment vertical="top" wrapText="1"/>
    </xf>
    <xf numFmtId="168" fontId="5" fillId="33" borderId="1" xfId="470" applyNumberFormat="1" applyFill="1" applyBorder="1" applyAlignment="1">
      <alignment vertical="top" wrapText="1"/>
    </xf>
    <xf numFmtId="168" fontId="5" fillId="33" borderId="6" xfId="470" applyNumberFormat="1" applyFill="1" applyBorder="1" applyAlignment="1">
      <alignment vertical="top" wrapText="1"/>
    </xf>
    <xf numFmtId="169" fontId="56" fillId="33" borderId="22" xfId="0" applyNumberFormat="1" applyFont="1" applyFill="1" applyBorder="1" applyAlignment="1">
      <alignment horizontal="right" vertical="center" wrapText="1"/>
    </xf>
    <xf numFmtId="0" fontId="5" fillId="33" borderId="0" xfId="470" applyFill="1" applyBorder="1" applyAlignment="1">
      <alignment vertical="top" wrapText="1"/>
    </xf>
    <xf numFmtId="168" fontId="5" fillId="33" borderId="42" xfId="470" applyNumberFormat="1" applyFill="1" applyBorder="1" applyAlignment="1">
      <alignment vertical="top" wrapText="1"/>
    </xf>
    <xf numFmtId="168" fontId="5" fillId="33" borderId="23" xfId="470" applyNumberFormat="1" applyFill="1" applyBorder="1" applyAlignment="1">
      <alignment vertical="top" wrapText="1"/>
    </xf>
    <xf numFmtId="0" fontId="56" fillId="33" borderId="23" xfId="0" applyFont="1" applyFill="1" applyBorder="1" applyAlignment="1">
      <alignment horizontal="right" vertical="center" wrapText="1"/>
    </xf>
    <xf numFmtId="169" fontId="56" fillId="33" borderId="23" xfId="0" applyNumberFormat="1" applyFont="1" applyFill="1" applyBorder="1" applyAlignment="1">
      <alignment horizontal="right" vertical="center" wrapText="1"/>
    </xf>
    <xf numFmtId="164" fontId="56" fillId="33" borderId="23" xfId="0" applyNumberFormat="1" applyFont="1" applyFill="1" applyBorder="1" applyAlignment="1">
      <alignment horizontal="right" vertical="center" wrapText="1"/>
    </xf>
    <xf numFmtId="178" fontId="56" fillId="33" borderId="2" xfId="0" applyNumberFormat="1" applyFont="1" applyFill="1" applyBorder="1"/>
    <xf numFmtId="0" fontId="56" fillId="33" borderId="24" xfId="0" applyFont="1" applyFill="1" applyBorder="1" applyAlignment="1">
      <alignment horizontal="right" vertical="center" wrapText="1"/>
    </xf>
    <xf numFmtId="169" fontId="56" fillId="33" borderId="26" xfId="0" applyNumberFormat="1" applyFont="1" applyFill="1" applyBorder="1" applyAlignment="1">
      <alignment horizontal="right" vertical="center" wrapText="1"/>
    </xf>
    <xf numFmtId="168" fontId="56" fillId="33" borderId="23" xfId="0" applyNumberFormat="1" applyFont="1" applyFill="1" applyBorder="1" applyAlignment="1">
      <alignment horizontal="right" vertical="center" wrapText="1"/>
    </xf>
    <xf numFmtId="0" fontId="5" fillId="33" borderId="23" xfId="470" applyFill="1" applyBorder="1" applyAlignment="1">
      <alignment vertical="top" wrapText="1"/>
    </xf>
    <xf numFmtId="167" fontId="5" fillId="33" borderId="23" xfId="470" applyNumberFormat="1" applyFill="1" applyBorder="1" applyAlignment="1">
      <alignment vertical="top" wrapText="1"/>
    </xf>
    <xf numFmtId="167" fontId="5" fillId="33" borderId="2" xfId="470" applyNumberFormat="1" applyFill="1" applyBorder="1" applyAlignment="1">
      <alignment vertical="top" wrapText="1"/>
    </xf>
    <xf numFmtId="0" fontId="5" fillId="33" borderId="8" xfId="470" applyFill="1" applyBorder="1" applyAlignment="1">
      <alignment vertical="top" wrapText="1"/>
    </xf>
    <xf numFmtId="168" fontId="56" fillId="33" borderId="20" xfId="0" applyNumberFormat="1" applyFont="1" applyFill="1" applyBorder="1" applyAlignment="1">
      <alignment vertical="top" wrapText="1"/>
    </xf>
    <xf numFmtId="0" fontId="5" fillId="33" borderId="3" xfId="470" applyFill="1" applyBorder="1" applyAlignment="1">
      <alignment vertical="top" wrapText="1"/>
    </xf>
    <xf numFmtId="168" fontId="56" fillId="33" borderId="21" xfId="0" applyNumberFormat="1" applyFont="1" applyFill="1" applyBorder="1" applyAlignment="1">
      <alignment vertical="top" wrapText="1"/>
    </xf>
    <xf numFmtId="2" fontId="56" fillId="33" borderId="3" xfId="0" applyNumberFormat="1" applyFont="1" applyFill="1" applyBorder="1" applyAlignment="1">
      <alignment vertical="top" wrapText="1"/>
    </xf>
    <xf numFmtId="168" fontId="56" fillId="33" borderId="3" xfId="0" applyNumberFormat="1" applyFont="1" applyFill="1" applyBorder="1" applyAlignment="1">
      <alignment vertical="top" wrapText="1"/>
    </xf>
    <xf numFmtId="168" fontId="56" fillId="33" borderId="0" xfId="0" applyNumberFormat="1" applyFont="1" applyFill="1" applyBorder="1" applyAlignment="1">
      <alignment vertical="top" wrapText="1"/>
    </xf>
    <xf numFmtId="2" fontId="56" fillId="33" borderId="5" xfId="0" applyNumberFormat="1" applyFont="1" applyFill="1" applyBorder="1" applyAlignment="1">
      <alignment vertical="top" wrapText="1"/>
    </xf>
    <xf numFmtId="168" fontId="56" fillId="33" borderId="5" xfId="0" applyNumberFormat="1" applyFont="1" applyFill="1" applyBorder="1" applyAlignment="1">
      <alignment vertical="top" wrapText="1"/>
    </xf>
    <xf numFmtId="168" fontId="56" fillId="33" borderId="1" xfId="0" applyNumberFormat="1" applyFont="1" applyFill="1" applyBorder="1" applyAlignment="1">
      <alignment vertical="top" wrapText="1"/>
    </xf>
    <xf numFmtId="168" fontId="56" fillId="33" borderId="6" xfId="0" applyNumberFormat="1" applyFont="1" applyFill="1" applyBorder="1" applyAlignment="1">
      <alignment vertical="top" wrapText="1"/>
    </xf>
    <xf numFmtId="168" fontId="56" fillId="33" borderId="22" xfId="0" applyNumberFormat="1" applyFont="1" applyFill="1" applyBorder="1" applyAlignment="1">
      <alignment vertical="top" wrapText="1"/>
    </xf>
    <xf numFmtId="0" fontId="5" fillId="33" borderId="38" xfId="470" applyFill="1" applyBorder="1" applyAlignment="1">
      <alignment vertical="top" wrapText="1"/>
    </xf>
    <xf numFmtId="167" fontId="5" fillId="33" borderId="40" xfId="470" applyNumberFormat="1" applyFill="1" applyBorder="1" applyAlignment="1">
      <alignment vertical="top" wrapText="1"/>
    </xf>
    <xf numFmtId="167" fontId="5" fillId="33" borderId="39" xfId="470" applyNumberFormat="1" applyFill="1" applyBorder="1" applyAlignment="1">
      <alignment vertical="top" wrapText="1"/>
    </xf>
    <xf numFmtId="167" fontId="5" fillId="33" borderId="41" xfId="470" applyNumberFormat="1" applyFill="1" applyBorder="1" applyAlignment="1">
      <alignment vertical="top" wrapText="1"/>
    </xf>
    <xf numFmtId="164" fontId="0" fillId="33" borderId="21" xfId="0" applyNumberFormat="1" applyFill="1" applyBorder="1"/>
    <xf numFmtId="164" fontId="0" fillId="33" borderId="2" xfId="0" applyNumberFormat="1" applyFill="1" applyBorder="1"/>
    <xf numFmtId="168" fontId="0" fillId="33" borderId="0" xfId="0" applyNumberFormat="1" applyFill="1" applyBorder="1"/>
    <xf numFmtId="2" fontId="56" fillId="33" borderId="21" xfId="0" applyNumberFormat="1" applyFont="1" applyFill="1" applyBorder="1" applyAlignment="1">
      <alignment vertical="top" wrapText="1"/>
    </xf>
    <xf numFmtId="169" fontId="0" fillId="33" borderId="0" xfId="0" applyNumberFormat="1" applyFill="1" applyAlignment="1">
      <alignment horizontal="center" vertical="center" textRotation="180"/>
    </xf>
    <xf numFmtId="2" fontId="56" fillId="33" borderId="22" xfId="0" applyNumberFormat="1" applyFont="1" applyFill="1" applyBorder="1" applyAlignment="1">
      <alignment vertical="top" wrapText="1"/>
    </xf>
    <xf numFmtId="169" fontId="56" fillId="33" borderId="3" xfId="0" applyNumberFormat="1" applyFont="1" applyFill="1" applyBorder="1" applyAlignment="1">
      <alignment vertical="top" textRotation="180"/>
    </xf>
    <xf numFmtId="169" fontId="56" fillId="33" borderId="0" xfId="0" applyNumberFormat="1" applyFont="1" applyFill="1" applyBorder="1" applyAlignment="1">
      <alignment vertical="top" textRotation="180"/>
    </xf>
    <xf numFmtId="0" fontId="56" fillId="33" borderId="5" xfId="0" applyFont="1" applyFill="1" applyBorder="1" applyAlignment="1">
      <alignment horizontal="right" vertical="center" wrapText="1"/>
    </xf>
    <xf numFmtId="169" fontId="56" fillId="33" borderId="6" xfId="0" applyNumberFormat="1" applyFont="1" applyFill="1" applyBorder="1" applyAlignment="1">
      <alignment horizontal="right" vertical="center" wrapText="1"/>
    </xf>
    <xf numFmtId="2" fontId="56" fillId="33" borderId="24" xfId="0" applyNumberFormat="1" applyFont="1" applyFill="1" applyBorder="1" applyAlignment="1">
      <alignment vertical="top" wrapText="1"/>
    </xf>
    <xf numFmtId="2" fontId="56" fillId="33" borderId="25" xfId="0" applyNumberFormat="1" applyFont="1" applyFill="1" applyBorder="1" applyAlignment="1">
      <alignment vertical="top" wrapText="1"/>
    </xf>
    <xf numFmtId="2" fontId="56" fillId="33" borderId="26" xfId="0" applyNumberFormat="1" applyFont="1" applyFill="1" applyBorder="1" applyAlignment="1">
      <alignment vertical="top" wrapText="1"/>
    </xf>
    <xf numFmtId="2" fontId="56" fillId="33" borderId="23" xfId="0" applyNumberFormat="1" applyFont="1" applyFill="1" applyBorder="1" applyAlignment="1">
      <alignment vertical="top" wrapText="1"/>
    </xf>
    <xf numFmtId="0" fontId="56" fillId="33" borderId="0" xfId="0" applyFont="1" applyFill="1" applyBorder="1" applyAlignment="1">
      <alignment horizontal="right" vertical="center" wrapText="1"/>
    </xf>
    <xf numFmtId="168" fontId="56" fillId="33" borderId="0" xfId="0" applyNumberFormat="1" applyFont="1" applyFill="1" applyBorder="1" applyAlignment="1">
      <alignment horizontal="right" vertical="center" wrapText="1"/>
    </xf>
    <xf numFmtId="0" fontId="0" fillId="33" borderId="0" xfId="0" applyFont="1" applyFill="1" applyAlignment="1">
      <alignment vertical="top" wrapText="1"/>
    </xf>
    <xf numFmtId="0" fontId="22" fillId="33" borderId="0" xfId="0" applyFont="1" applyFill="1" applyAlignment="1">
      <alignment vertical="top" wrapText="1"/>
    </xf>
    <xf numFmtId="0" fontId="56" fillId="33" borderId="0" xfId="0" applyFont="1" applyFill="1" applyBorder="1" applyAlignment="1">
      <alignment horizontal="left" vertical="center" wrapText="1"/>
    </xf>
    <xf numFmtId="2" fontId="0" fillId="33" borderId="0" xfId="0" applyNumberFormat="1" applyFill="1"/>
    <xf numFmtId="2" fontId="0" fillId="33" borderId="0" xfId="0" applyNumberFormat="1" applyFont="1" applyFill="1" applyAlignment="1">
      <alignment vertical="top" wrapText="1"/>
    </xf>
    <xf numFmtId="2" fontId="0" fillId="33" borderId="0" xfId="0" applyNumberFormat="1" applyFill="1" applyBorder="1"/>
    <xf numFmtId="2" fontId="56" fillId="33" borderId="0" xfId="0" applyNumberFormat="1" applyFont="1" applyFill="1" applyBorder="1"/>
    <xf numFmtId="0" fontId="46" fillId="33" borderId="32" xfId="498" applyFont="1" applyFill="1" applyBorder="1" applyAlignment="1">
      <alignment horizontal="center" vertical="top" wrapText="1"/>
    </xf>
    <xf numFmtId="0" fontId="46" fillId="33" borderId="27" xfId="498" applyFont="1" applyFill="1" applyBorder="1" applyAlignment="1">
      <alignment horizontal="center" vertical="top" wrapText="1"/>
    </xf>
    <xf numFmtId="0" fontId="46" fillId="33" borderId="33" xfId="498" applyFont="1" applyFill="1" applyBorder="1" applyAlignment="1">
      <alignment horizontal="center" vertical="top" wrapText="1"/>
    </xf>
    <xf numFmtId="0" fontId="46" fillId="33" borderId="35" xfId="0" applyFont="1" applyFill="1" applyBorder="1" applyAlignment="1">
      <alignment horizontal="center" vertical="top" wrapText="1"/>
    </xf>
    <xf numFmtId="0" fontId="46" fillId="33" borderId="36" xfId="0" applyFont="1" applyFill="1" applyBorder="1" applyAlignment="1">
      <alignment horizontal="center" vertical="top" wrapText="1"/>
    </xf>
    <xf numFmtId="0" fontId="46" fillId="33" borderId="37" xfId="0" applyFont="1" applyFill="1" applyBorder="1" applyAlignment="1">
      <alignment horizontal="center" vertical="top" wrapText="1"/>
    </xf>
    <xf numFmtId="0" fontId="3" fillId="33" borderId="31" xfId="498" applyFill="1" applyBorder="1" applyAlignment="1">
      <alignment horizontal="right" vertical="top" wrapText="1"/>
    </xf>
    <xf numFmtId="0" fontId="3" fillId="33" borderId="28" xfId="498" applyFill="1" applyBorder="1" applyAlignment="1">
      <alignment vertical="top" wrapText="1"/>
    </xf>
    <xf numFmtId="0" fontId="3" fillId="33" borderId="34" xfId="498" applyFill="1" applyBorder="1" applyAlignment="1">
      <alignment vertical="top" wrapText="1"/>
    </xf>
    <xf numFmtId="49" fontId="56" fillId="33" borderId="8" xfId="0" applyNumberFormat="1" applyFont="1" applyFill="1" applyBorder="1" applyAlignment="1">
      <alignment horizontal="right" vertical="center" wrapText="1"/>
    </xf>
    <xf numFmtId="0" fontId="22" fillId="33" borderId="0" xfId="0" applyFont="1" applyFill="1"/>
    <xf numFmtId="4" fontId="0" fillId="33" borderId="0" xfId="0" applyNumberFormat="1" applyFill="1" applyBorder="1"/>
    <xf numFmtId="0" fontId="3" fillId="33" borderId="3" xfId="498" applyFill="1" applyBorder="1" applyAlignment="1">
      <alignment vertical="top" wrapText="1"/>
    </xf>
    <xf numFmtId="0" fontId="56" fillId="33" borderId="31" xfId="0" applyFont="1" applyFill="1" applyBorder="1" applyAlignment="1">
      <alignment horizontal="right" vertical="center" wrapText="1"/>
    </xf>
    <xf numFmtId="0" fontId="56" fillId="33" borderId="28" xfId="0" applyFont="1" applyFill="1" applyBorder="1" applyAlignment="1">
      <alignment horizontal="right" vertical="center" wrapText="1"/>
    </xf>
    <xf numFmtId="0" fontId="56" fillId="33" borderId="34" xfId="0" applyFont="1" applyFill="1" applyBorder="1" applyAlignment="1">
      <alignment horizontal="right" vertical="center" wrapText="1"/>
    </xf>
    <xf numFmtId="0" fontId="26" fillId="33" borderId="0" xfId="0" applyFont="1" applyFill="1" applyBorder="1" applyAlignment="1">
      <alignment horizontal="left" vertical="center"/>
    </xf>
    <xf numFmtId="175" fontId="0" fillId="33" borderId="0" xfId="0" applyNumberFormat="1" applyFill="1"/>
    <xf numFmtId="0" fontId="56" fillId="33" borderId="3" xfId="0" applyFont="1" applyFill="1" applyBorder="1" applyAlignment="1">
      <alignment horizontal="left" vertical="center" wrapText="1"/>
    </xf>
    <xf numFmtId="0" fontId="22" fillId="33" borderId="0" xfId="0" applyFont="1" applyFill="1" applyBorder="1" applyAlignment="1">
      <alignment horizontal="left" vertical="center"/>
    </xf>
    <xf numFmtId="0" fontId="0" fillId="33" borderId="0" xfId="0" applyFont="1" applyFill="1" applyBorder="1" applyAlignment="1">
      <alignment vertical="top" wrapText="1"/>
    </xf>
    <xf numFmtId="0" fontId="26" fillId="33" borderId="0" xfId="0" applyFont="1" applyFill="1" applyBorder="1" applyAlignment="1">
      <alignment horizontal="right" vertical="center"/>
    </xf>
    <xf numFmtId="170" fontId="0" fillId="34" borderId="0" xfId="44" applyNumberFormat="1" applyFont="1" applyFill="1"/>
    <xf numFmtId="170" fontId="0" fillId="0" borderId="0" xfId="44" applyNumberFormat="1" applyFont="1"/>
    <xf numFmtId="0" fontId="21" fillId="0" borderId="0" xfId="62"/>
    <xf numFmtId="0" fontId="24" fillId="0" borderId="1" xfId="62" applyFont="1" applyBorder="1" applyAlignment="1">
      <alignment horizontal="right"/>
    </xf>
    <xf numFmtId="0" fontId="24" fillId="0" borderId="1" xfId="62" applyFont="1" applyBorder="1"/>
    <xf numFmtId="170" fontId="0" fillId="35" borderId="0" xfId="44" applyNumberFormat="1" applyFont="1" applyFill="1"/>
    <xf numFmtId="0" fontId="22" fillId="0" borderId="0" xfId="0" applyFont="1" applyFill="1"/>
    <xf numFmtId="0" fontId="22" fillId="0" borderId="0" xfId="0" applyFont="1" applyFill="1" applyBorder="1" applyAlignment="1">
      <alignment horizontal="center"/>
    </xf>
    <xf numFmtId="0" fontId="22" fillId="0" borderId="5" xfId="0" applyFont="1" applyFill="1" applyBorder="1" applyAlignment="1">
      <alignment horizontal="center"/>
    </xf>
    <xf numFmtId="0" fontId="22" fillId="0" borderId="6" xfId="0" applyFont="1" applyFill="1" applyBorder="1" applyAlignment="1">
      <alignment horizontal="center"/>
    </xf>
    <xf numFmtId="0" fontId="22" fillId="0" borderId="1" xfId="0" applyFont="1" applyFill="1" applyBorder="1" applyAlignment="1">
      <alignment horizontal="center"/>
    </xf>
    <xf numFmtId="0" fontId="1" fillId="0" borderId="0" xfId="515"/>
    <xf numFmtId="0" fontId="22" fillId="0" borderId="0" xfId="515" applyFont="1" applyAlignment="1">
      <alignment horizontal="center" vertical="top" textRotation="180"/>
    </xf>
    <xf numFmtId="0" fontId="63" fillId="0" borderId="0" xfId="515" applyFont="1"/>
    <xf numFmtId="0" fontId="63" fillId="0" borderId="0" xfId="515" applyFont="1" applyAlignment="1">
      <alignment horizontal="center" vertical="center" textRotation="180"/>
    </xf>
    <xf numFmtId="0" fontId="22" fillId="0" borderId="0" xfId="0" applyFont="1" applyFill="1" applyBorder="1" applyAlignment="1">
      <alignment horizontal="right"/>
    </xf>
    <xf numFmtId="41" fontId="0" fillId="0" borderId="0" xfId="0" applyNumberFormat="1" applyFont="1" applyFill="1" applyBorder="1"/>
    <xf numFmtId="170" fontId="0" fillId="0" borderId="2" xfId="44" applyNumberFormat="1" applyFont="1" applyFill="1" applyBorder="1"/>
    <xf numFmtId="170" fontId="0" fillId="0" borderId="50" xfId="44" applyNumberFormat="1" applyFont="1" applyFill="1" applyBorder="1"/>
    <xf numFmtId="170" fontId="0" fillId="0" borderId="51" xfId="44" applyNumberFormat="1" applyFont="1" applyFill="1" applyBorder="1"/>
    <xf numFmtId="41" fontId="0" fillId="0" borderId="2" xfId="0" applyNumberFormat="1" applyFont="1" applyFill="1" applyBorder="1"/>
    <xf numFmtId="41" fontId="0" fillId="0" borderId="0" xfId="44" applyNumberFormat="1" applyFont="1" applyFill="1" applyBorder="1"/>
    <xf numFmtId="41" fontId="0" fillId="0" borderId="2" xfId="44" applyNumberFormat="1" applyFont="1" applyFill="1" applyBorder="1"/>
    <xf numFmtId="44" fontId="0" fillId="0" borderId="0" xfId="514" applyFont="1" applyFill="1" applyBorder="1"/>
    <xf numFmtId="44" fontId="0" fillId="0" borderId="2" xfId="514" applyFont="1" applyFill="1" applyBorder="1"/>
    <xf numFmtId="179" fontId="0" fillId="0" borderId="0" xfId="514" applyNumberFormat="1" applyFont="1" applyFill="1" applyBorder="1"/>
    <xf numFmtId="0" fontId="0" fillId="0" borderId="2" xfId="0" applyFont="1" applyFill="1" applyBorder="1"/>
    <xf numFmtId="179" fontId="0" fillId="0" borderId="1" xfId="514" applyNumberFormat="1" applyFont="1" applyFill="1" applyBorder="1"/>
    <xf numFmtId="179" fontId="0" fillId="0" borderId="6" xfId="514" applyNumberFormat="1" applyFont="1" applyFill="1" applyBorder="1"/>
    <xf numFmtId="179" fontId="0" fillId="0" borderId="2" xfId="514" applyNumberFormat="1" applyFont="1" applyFill="1" applyBorder="1"/>
    <xf numFmtId="170" fontId="0" fillId="0" borderId="0" xfId="44" applyNumberFormat="1" applyFont="1" applyFill="1" applyBorder="1"/>
    <xf numFmtId="41" fontId="0" fillId="0" borderId="3" xfId="0" applyNumberFormat="1" applyFont="1" applyFill="1" applyBorder="1"/>
    <xf numFmtId="170" fontId="0" fillId="0" borderId="3" xfId="44" applyNumberFormat="1" applyFont="1" applyFill="1" applyBorder="1"/>
    <xf numFmtId="170" fontId="0" fillId="0" borderId="52" xfId="44" applyNumberFormat="1" applyFont="1" applyFill="1" applyBorder="1"/>
    <xf numFmtId="44" fontId="0" fillId="0" borderId="3" xfId="514" applyFont="1" applyFill="1" applyBorder="1"/>
    <xf numFmtId="179" fontId="0" fillId="0" borderId="3" xfId="514" applyNumberFormat="1" applyFont="1" applyFill="1" applyBorder="1"/>
    <xf numFmtId="0" fontId="0" fillId="0" borderId="3" xfId="0" applyFont="1" applyFill="1" applyBorder="1"/>
    <xf numFmtId="0" fontId="0" fillId="0" borderId="0" xfId="0" applyFont="1" applyFill="1" applyBorder="1"/>
    <xf numFmtId="179" fontId="0" fillId="0" borderId="5" xfId="514" applyNumberFormat="1" applyFont="1" applyFill="1" applyBorder="1"/>
    <xf numFmtId="0" fontId="0" fillId="0" borderId="5" xfId="0" applyFont="1" applyFill="1" applyBorder="1"/>
    <xf numFmtId="0" fontId="0" fillId="0" borderId="1" xfId="0" applyFont="1" applyFill="1" applyBorder="1"/>
    <xf numFmtId="0" fontId="0" fillId="0" borderId="6" xfId="0" applyFont="1" applyFill="1" applyBorder="1"/>
    <xf numFmtId="3" fontId="0" fillId="0" borderId="3" xfId="0" applyNumberFormat="1" applyFill="1" applyBorder="1"/>
    <xf numFmtId="3" fontId="0" fillId="0" borderId="2" xfId="0" applyNumberFormat="1" applyFill="1" applyBorder="1"/>
    <xf numFmtId="0" fontId="22" fillId="0" borderId="5" xfId="0" applyFont="1" applyBorder="1" applyAlignment="1">
      <alignment horizontal="center"/>
    </xf>
    <xf numFmtId="0" fontId="48" fillId="0" borderId="0" xfId="515" applyFont="1" applyAlignment="1">
      <alignment horizontal="center" vertical="top" textRotation="180"/>
    </xf>
    <xf numFmtId="0" fontId="24" fillId="0" borderId="0" xfId="0" applyFont="1" applyAlignment="1">
      <alignment horizontal="left"/>
    </xf>
    <xf numFmtId="0" fontId="22"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xf>
    <xf numFmtId="0" fontId="24" fillId="0" borderId="0" xfId="34" applyFont="1" applyAlignment="1" applyProtection="1">
      <alignment horizontal="left"/>
    </xf>
    <xf numFmtId="0" fontId="26" fillId="0" borderId="0" xfId="0" applyFont="1" applyAlignment="1">
      <alignment horizontal="left"/>
    </xf>
    <xf numFmtId="0" fontId="25" fillId="0" borderId="0" xfId="34" applyAlignment="1" applyProtection="1">
      <alignment horizontal="left"/>
    </xf>
    <xf numFmtId="0" fontId="24" fillId="0" borderId="0" xfId="62" applyFont="1" applyAlignment="1">
      <alignment horizontal="center"/>
    </xf>
    <xf numFmtId="17" fontId="0" fillId="0" borderId="8" xfId="514" applyNumberFormat="1" applyFont="1" applyBorder="1" applyAlignment="1">
      <alignment horizontal="center"/>
    </xf>
    <xf numFmtId="17" fontId="0" fillId="0" borderId="10" xfId="514" applyNumberFormat="1" applyFont="1" applyBorder="1" applyAlignment="1">
      <alignment horizontal="center"/>
    </xf>
    <xf numFmtId="17" fontId="0" fillId="0" borderId="7" xfId="514" applyNumberFormat="1" applyFont="1" applyBorder="1" applyAlignment="1">
      <alignment horizontal="center"/>
    </xf>
    <xf numFmtId="0" fontId="24" fillId="0" borderId="0" xfId="0" applyFont="1" applyAlignment="1">
      <alignment horizontal="center"/>
    </xf>
    <xf numFmtId="0" fontId="24" fillId="0" borderId="0" xfId="0" applyFont="1" applyAlignment="1">
      <alignment horizontal="left" wrapText="1"/>
    </xf>
    <xf numFmtId="0" fontId="56" fillId="33" borderId="0" xfId="0" applyFont="1" applyFill="1" applyAlignment="1">
      <alignment horizontal="center"/>
    </xf>
    <xf numFmtId="169" fontId="0" fillId="33" borderId="0" xfId="0" applyNumberFormat="1" applyFill="1" applyAlignment="1">
      <alignment horizontal="center" vertical="center" textRotation="180"/>
    </xf>
    <xf numFmtId="169" fontId="0" fillId="33" borderId="3" xfId="0" applyNumberFormat="1" applyFill="1" applyBorder="1" applyAlignment="1">
      <alignment horizontal="center" vertical="top" textRotation="180"/>
    </xf>
    <xf numFmtId="169" fontId="0" fillId="33" borderId="0" xfId="0" applyNumberFormat="1" applyFill="1" applyAlignment="1">
      <alignment horizontal="center" vertical="top" textRotation="180"/>
    </xf>
    <xf numFmtId="169" fontId="56" fillId="33" borderId="0" xfId="0" applyNumberFormat="1" applyFont="1" applyFill="1" applyBorder="1" applyAlignment="1">
      <alignment horizontal="center" vertical="top" textRotation="180"/>
    </xf>
    <xf numFmtId="169" fontId="56" fillId="33" borderId="3" xfId="0" applyNumberFormat="1" applyFont="1" applyFill="1" applyBorder="1" applyAlignment="1">
      <alignment horizontal="center" vertical="top" textRotation="180"/>
    </xf>
    <xf numFmtId="2" fontId="56" fillId="33" borderId="0" xfId="0" applyNumberFormat="1" applyFont="1" applyFill="1" applyBorder="1" applyAlignment="1">
      <alignment horizontal="center" vertical="top" wrapText="1"/>
    </xf>
    <xf numFmtId="0" fontId="0" fillId="0" borderId="0" xfId="0" applyAlignment="1">
      <alignment horizontal="left"/>
    </xf>
    <xf numFmtId="0" fontId="22" fillId="0" borderId="0" xfId="0" applyFont="1" applyAlignment="1">
      <alignment horizontal="left"/>
    </xf>
  </cellXfs>
  <cellStyles count="516">
    <cellStyle name="20% - Accent1" xfId="1" builtinId="30" customBuiltin="1"/>
    <cellStyle name="20% - Accent1 10" xfId="133"/>
    <cellStyle name="20% - Accent1 10 2" xfId="301"/>
    <cellStyle name="20% - Accent1 11" xfId="172"/>
    <cellStyle name="20% - Accent1 11 2" xfId="340"/>
    <cellStyle name="20% - Accent1 12" xfId="186"/>
    <cellStyle name="20% - Accent1 12 2" xfId="352"/>
    <cellStyle name="20% - Accent1 13" xfId="200"/>
    <cellStyle name="20% - Accent1 14" xfId="368"/>
    <cellStyle name="20% - Accent1 15" xfId="387"/>
    <cellStyle name="20% - Accent1 16" xfId="402"/>
    <cellStyle name="20% - Accent1 17" xfId="416"/>
    <cellStyle name="20% - Accent1 18" xfId="431"/>
    <cellStyle name="20% - Accent1 19" xfId="444"/>
    <cellStyle name="20% - Accent1 2" xfId="48"/>
    <cellStyle name="20% - Accent1 2 2" xfId="220"/>
    <cellStyle name="20% - Accent1 20" xfId="458"/>
    <cellStyle name="20% - Accent1 21" xfId="472"/>
    <cellStyle name="20% - Accent1 22" xfId="485"/>
    <cellStyle name="20% - Accent1 23" xfId="501"/>
    <cellStyle name="20% - Accent1 3" xfId="54"/>
    <cellStyle name="20% - Accent1 3 2" xfId="226"/>
    <cellStyle name="20% - Accent1 4" xfId="68"/>
    <cellStyle name="20% - Accent1 4 2" xfId="238"/>
    <cellStyle name="20% - Accent1 5" xfId="92"/>
    <cellStyle name="20% - Accent1 5 2" xfId="260"/>
    <cellStyle name="20% - Accent1 6" xfId="111"/>
    <cellStyle name="20% - Accent1 6 2" xfId="279"/>
    <cellStyle name="20% - Accent1 7" xfId="112"/>
    <cellStyle name="20% - Accent1 7 2" xfId="280"/>
    <cellStyle name="20% - Accent1 8" xfId="130"/>
    <cellStyle name="20% - Accent1 8 2" xfId="298"/>
    <cellStyle name="20% - Accent1 9" xfId="129"/>
    <cellStyle name="20% - Accent1 9 2" xfId="297"/>
    <cellStyle name="20% - Accent2" xfId="2" builtinId="34" customBuiltin="1"/>
    <cellStyle name="20% - Accent2 10" xfId="160"/>
    <cellStyle name="20% - Accent2 10 2" xfId="328"/>
    <cellStyle name="20% - Accent2 11" xfId="174"/>
    <cellStyle name="20% - Accent2 11 2" xfId="342"/>
    <cellStyle name="20% - Accent2 12" xfId="188"/>
    <cellStyle name="20% - Accent2 12 2" xfId="353"/>
    <cellStyle name="20% - Accent2 13" xfId="201"/>
    <cellStyle name="20% - Accent2 14" xfId="370"/>
    <cellStyle name="20% - Accent2 15" xfId="389"/>
    <cellStyle name="20% - Accent2 16" xfId="404"/>
    <cellStyle name="20% - Accent2 17" xfId="418"/>
    <cellStyle name="20% - Accent2 18" xfId="433"/>
    <cellStyle name="20% - Accent2 19" xfId="446"/>
    <cellStyle name="20% - Accent2 2" xfId="52"/>
    <cellStyle name="20% - Accent2 2 2" xfId="224"/>
    <cellStyle name="20% - Accent2 20" xfId="460"/>
    <cellStyle name="20% - Accent2 21" xfId="474"/>
    <cellStyle name="20% - Accent2 22" xfId="486"/>
    <cellStyle name="20% - Accent2 23" xfId="503"/>
    <cellStyle name="20% - Accent2 3" xfId="65"/>
    <cellStyle name="20% - Accent2 3 2" xfId="235"/>
    <cellStyle name="20% - Accent2 4" xfId="73"/>
    <cellStyle name="20% - Accent2 4 2" xfId="243"/>
    <cellStyle name="20% - Accent2 5" xfId="95"/>
    <cellStyle name="20% - Accent2 5 2" xfId="263"/>
    <cellStyle name="20% - Accent2 6" xfId="97"/>
    <cellStyle name="20% - Accent2 6 2" xfId="265"/>
    <cellStyle name="20% - Accent2 7" xfId="127"/>
    <cellStyle name="20% - Accent2 7 2" xfId="295"/>
    <cellStyle name="20% - Accent2 8" xfId="140"/>
    <cellStyle name="20% - Accent2 8 2" xfId="308"/>
    <cellStyle name="20% - Accent2 9" xfId="150"/>
    <cellStyle name="20% - Accent2 9 2" xfId="318"/>
    <cellStyle name="20% - Accent3" xfId="3" builtinId="38" customBuiltin="1"/>
    <cellStyle name="20% - Accent3 10" xfId="134"/>
    <cellStyle name="20% - Accent3 10 2" xfId="302"/>
    <cellStyle name="20% - Accent3 11" xfId="176"/>
    <cellStyle name="20% - Accent3 11 2" xfId="344"/>
    <cellStyle name="20% - Accent3 12" xfId="190"/>
    <cellStyle name="20% - Accent3 12 2" xfId="354"/>
    <cellStyle name="20% - Accent3 13" xfId="202"/>
    <cellStyle name="20% - Accent3 14" xfId="372"/>
    <cellStyle name="20% - Accent3 15" xfId="391"/>
    <cellStyle name="20% - Accent3 16" xfId="406"/>
    <cellStyle name="20% - Accent3 17" xfId="420"/>
    <cellStyle name="20% - Accent3 18" xfId="435"/>
    <cellStyle name="20% - Accent3 19" xfId="448"/>
    <cellStyle name="20% - Accent3 2" xfId="55"/>
    <cellStyle name="20% - Accent3 2 2" xfId="227"/>
    <cellStyle name="20% - Accent3 20" xfId="462"/>
    <cellStyle name="20% - Accent3 21" xfId="476"/>
    <cellStyle name="20% - Accent3 22" xfId="487"/>
    <cellStyle name="20% - Accent3 23" xfId="505"/>
    <cellStyle name="20% - Accent3 3" xfId="50"/>
    <cellStyle name="20% - Accent3 3 2" xfId="222"/>
    <cellStyle name="20% - Accent3 4" xfId="81"/>
    <cellStyle name="20% - Accent3 4 2" xfId="250"/>
    <cellStyle name="20% - Accent3 5" xfId="99"/>
    <cellStyle name="20% - Accent3 5 2" xfId="267"/>
    <cellStyle name="20% - Accent3 6" xfId="114"/>
    <cellStyle name="20% - Accent3 6 2" xfId="282"/>
    <cellStyle name="20% - Accent3 7" xfId="131"/>
    <cellStyle name="20% - Accent3 7 2" xfId="299"/>
    <cellStyle name="20% - Accent3 8" xfId="125"/>
    <cellStyle name="20% - Accent3 8 2" xfId="293"/>
    <cellStyle name="20% - Accent3 9" xfId="116"/>
    <cellStyle name="20% - Accent3 9 2" xfId="284"/>
    <cellStyle name="20% - Accent4" xfId="4" builtinId="42" customBuiltin="1"/>
    <cellStyle name="20% - Accent4 10" xfId="164"/>
    <cellStyle name="20% - Accent4 10 2" xfId="332"/>
    <cellStyle name="20% - Accent4 11" xfId="178"/>
    <cellStyle name="20% - Accent4 11 2" xfId="346"/>
    <cellStyle name="20% - Accent4 12" xfId="192"/>
    <cellStyle name="20% - Accent4 12 2" xfId="355"/>
    <cellStyle name="20% - Accent4 13" xfId="203"/>
    <cellStyle name="20% - Accent4 14" xfId="374"/>
    <cellStyle name="20% - Accent4 15" xfId="393"/>
    <cellStyle name="20% - Accent4 16" xfId="408"/>
    <cellStyle name="20% - Accent4 17" xfId="422"/>
    <cellStyle name="20% - Accent4 18" xfId="437"/>
    <cellStyle name="20% - Accent4 19" xfId="450"/>
    <cellStyle name="20% - Accent4 2" xfId="59"/>
    <cellStyle name="20% - Accent4 2 2" xfId="230"/>
    <cellStyle name="20% - Accent4 20" xfId="464"/>
    <cellStyle name="20% - Accent4 21" xfId="478"/>
    <cellStyle name="20% - Accent4 22" xfId="488"/>
    <cellStyle name="20% - Accent4 23" xfId="507"/>
    <cellStyle name="20% - Accent4 3" xfId="71"/>
    <cellStyle name="20% - Accent4 3 2" xfId="241"/>
    <cellStyle name="20% - Accent4 4" xfId="83"/>
    <cellStyle name="20% - Accent4 4 2" xfId="252"/>
    <cellStyle name="20% - Accent4 5" xfId="102"/>
    <cellStyle name="20% - Accent4 5 2" xfId="270"/>
    <cellStyle name="20% - Accent4 6" xfId="118"/>
    <cellStyle name="20% - Accent4 6 2" xfId="286"/>
    <cellStyle name="20% - Accent4 7" xfId="135"/>
    <cellStyle name="20% - Accent4 7 2" xfId="303"/>
    <cellStyle name="20% - Accent4 8" xfId="145"/>
    <cellStyle name="20% - Accent4 8 2" xfId="313"/>
    <cellStyle name="20% - Accent4 9" xfId="155"/>
    <cellStyle name="20% - Accent4 9 2" xfId="323"/>
    <cellStyle name="20% - Accent5" xfId="5" builtinId="46" customBuiltin="1"/>
    <cellStyle name="20% - Accent5 10" xfId="166"/>
    <cellStyle name="20% - Accent5 10 2" xfId="334"/>
    <cellStyle name="20% - Accent5 11" xfId="180"/>
    <cellStyle name="20% - Accent5 11 2" xfId="348"/>
    <cellStyle name="20% - Accent5 12" xfId="194"/>
    <cellStyle name="20% - Accent5 12 2" xfId="356"/>
    <cellStyle name="20% - Accent5 13" xfId="204"/>
    <cellStyle name="20% - Accent5 14" xfId="376"/>
    <cellStyle name="20% - Accent5 15" xfId="396"/>
    <cellStyle name="20% - Accent5 16" xfId="410"/>
    <cellStyle name="20% - Accent5 17" xfId="424"/>
    <cellStyle name="20% - Accent5 18" xfId="439"/>
    <cellStyle name="20% - Accent5 19" xfId="452"/>
    <cellStyle name="20% - Accent5 2" xfId="63"/>
    <cellStyle name="20% - Accent5 2 2" xfId="233"/>
    <cellStyle name="20% - Accent5 20" xfId="466"/>
    <cellStyle name="20% - Accent5 21" xfId="480"/>
    <cellStyle name="20% - Accent5 22" xfId="489"/>
    <cellStyle name="20% - Accent5 23" xfId="509"/>
    <cellStyle name="20% - Accent5 3" xfId="74"/>
    <cellStyle name="20% - Accent5 3 2" xfId="244"/>
    <cellStyle name="20% - Accent5 4" xfId="85"/>
    <cellStyle name="20% - Accent5 4 2" xfId="254"/>
    <cellStyle name="20% - Accent5 5" xfId="105"/>
    <cellStyle name="20% - Accent5 5 2" xfId="273"/>
    <cellStyle name="20% - Accent5 6" xfId="120"/>
    <cellStyle name="20% - Accent5 6 2" xfId="288"/>
    <cellStyle name="20% - Accent5 7" xfId="138"/>
    <cellStyle name="20% - Accent5 7 2" xfId="306"/>
    <cellStyle name="20% - Accent5 8" xfId="148"/>
    <cellStyle name="20% - Accent5 8 2" xfId="316"/>
    <cellStyle name="20% - Accent5 9" xfId="158"/>
    <cellStyle name="20% - Accent5 9 2" xfId="326"/>
    <cellStyle name="20% - Accent6" xfId="6" builtinId="50" customBuiltin="1"/>
    <cellStyle name="20% - Accent6 10" xfId="168"/>
    <cellStyle name="20% - Accent6 10 2" xfId="336"/>
    <cellStyle name="20% - Accent6 11" xfId="182"/>
    <cellStyle name="20% - Accent6 11 2" xfId="350"/>
    <cellStyle name="20% - Accent6 12" xfId="196"/>
    <cellStyle name="20% - Accent6 12 2" xfId="357"/>
    <cellStyle name="20% - Accent6 13" xfId="205"/>
    <cellStyle name="20% - Accent6 14" xfId="378"/>
    <cellStyle name="20% - Accent6 15" xfId="398"/>
    <cellStyle name="20% - Accent6 16" xfId="412"/>
    <cellStyle name="20% - Accent6 17" xfId="426"/>
    <cellStyle name="20% - Accent6 18" xfId="441"/>
    <cellStyle name="20% - Accent6 19" xfId="454"/>
    <cellStyle name="20% - Accent6 2" xfId="66"/>
    <cellStyle name="20% - Accent6 2 2" xfId="236"/>
    <cellStyle name="20% - Accent6 20" xfId="468"/>
    <cellStyle name="20% - Accent6 21" xfId="482"/>
    <cellStyle name="20% - Accent6 22" xfId="490"/>
    <cellStyle name="20% - Accent6 23" xfId="511"/>
    <cellStyle name="20% - Accent6 3" xfId="78"/>
    <cellStyle name="20% - Accent6 3 2" xfId="247"/>
    <cellStyle name="20% - Accent6 4" xfId="88"/>
    <cellStyle name="20% - Accent6 4 2" xfId="256"/>
    <cellStyle name="20% - Accent6 5" xfId="109"/>
    <cellStyle name="20% - Accent6 5 2" xfId="277"/>
    <cellStyle name="20% - Accent6 6" xfId="122"/>
    <cellStyle name="20% - Accent6 6 2" xfId="290"/>
    <cellStyle name="20% - Accent6 7" xfId="141"/>
    <cellStyle name="20% - Accent6 7 2" xfId="309"/>
    <cellStyle name="20% - Accent6 8" xfId="151"/>
    <cellStyle name="20% - Accent6 8 2" xfId="319"/>
    <cellStyle name="20% - Accent6 9" xfId="161"/>
    <cellStyle name="20% - Accent6 9 2" xfId="329"/>
    <cellStyle name="40% - Accent1" xfId="7" builtinId="31" customBuiltin="1"/>
    <cellStyle name="40% - Accent1 10" xfId="153"/>
    <cellStyle name="40% - Accent1 10 2" xfId="321"/>
    <cellStyle name="40% - Accent1 11" xfId="173"/>
    <cellStyle name="40% - Accent1 11 2" xfId="341"/>
    <cellStyle name="40% - Accent1 12" xfId="187"/>
    <cellStyle name="40% - Accent1 12 2" xfId="358"/>
    <cellStyle name="40% - Accent1 13" xfId="206"/>
    <cellStyle name="40% - Accent1 14" xfId="369"/>
    <cellStyle name="40% - Accent1 15" xfId="388"/>
    <cellStyle name="40% - Accent1 16" xfId="403"/>
    <cellStyle name="40% - Accent1 17" xfId="417"/>
    <cellStyle name="40% - Accent1 18" xfId="432"/>
    <cellStyle name="40% - Accent1 19" xfId="445"/>
    <cellStyle name="40% - Accent1 2" xfId="49"/>
    <cellStyle name="40% - Accent1 2 2" xfId="221"/>
    <cellStyle name="40% - Accent1 20" xfId="459"/>
    <cellStyle name="40% - Accent1 21" xfId="473"/>
    <cellStyle name="40% - Accent1 22" xfId="491"/>
    <cellStyle name="40% - Accent1 23" xfId="502"/>
    <cellStyle name="40% - Accent1 3" xfId="51"/>
    <cellStyle name="40% - Accent1 3 2" xfId="223"/>
    <cellStyle name="40% - Accent1 4" xfId="58"/>
    <cellStyle name="40% - Accent1 4 2" xfId="229"/>
    <cellStyle name="40% - Accent1 5" xfId="93"/>
    <cellStyle name="40% - Accent1 5 2" xfId="261"/>
    <cellStyle name="40% - Accent1 6" xfId="107"/>
    <cellStyle name="40% - Accent1 6 2" xfId="275"/>
    <cellStyle name="40% - Accent1 7" xfId="104"/>
    <cellStyle name="40% - Accent1 7 2" xfId="272"/>
    <cellStyle name="40% - Accent1 8" xfId="126"/>
    <cellStyle name="40% - Accent1 8 2" xfId="294"/>
    <cellStyle name="40% - Accent1 9" xfId="143"/>
    <cellStyle name="40% - Accent1 9 2" xfId="311"/>
    <cellStyle name="40% - Accent2" xfId="8" builtinId="35" customBuiltin="1"/>
    <cellStyle name="40% - Accent2 10" xfId="157"/>
    <cellStyle name="40% - Accent2 10 2" xfId="325"/>
    <cellStyle name="40% - Accent2 11" xfId="175"/>
    <cellStyle name="40% - Accent2 11 2" xfId="343"/>
    <cellStyle name="40% - Accent2 12" xfId="189"/>
    <cellStyle name="40% - Accent2 12 2" xfId="359"/>
    <cellStyle name="40% - Accent2 13" xfId="207"/>
    <cellStyle name="40% - Accent2 14" xfId="371"/>
    <cellStyle name="40% - Accent2 15" xfId="390"/>
    <cellStyle name="40% - Accent2 16" xfId="405"/>
    <cellStyle name="40% - Accent2 17" xfId="419"/>
    <cellStyle name="40% - Accent2 18" xfId="434"/>
    <cellStyle name="40% - Accent2 19" xfId="447"/>
    <cellStyle name="40% - Accent2 2" xfId="53"/>
    <cellStyle name="40% - Accent2 2 2" xfId="225"/>
    <cellStyle name="40% - Accent2 20" xfId="461"/>
    <cellStyle name="40% - Accent2 21" xfId="475"/>
    <cellStyle name="40% - Accent2 22" xfId="492"/>
    <cellStyle name="40% - Accent2 23" xfId="504"/>
    <cellStyle name="40% - Accent2 3" xfId="61"/>
    <cellStyle name="40% - Accent2 3 2" xfId="232"/>
    <cellStyle name="40% - Accent2 4" xfId="70"/>
    <cellStyle name="40% - Accent2 4 2" xfId="240"/>
    <cellStyle name="40% - Accent2 5" xfId="96"/>
    <cellStyle name="40% - Accent2 5 2" xfId="264"/>
    <cellStyle name="40% - Accent2 6" xfId="94"/>
    <cellStyle name="40% - Accent2 6 2" xfId="262"/>
    <cellStyle name="40% - Accent2 7" xfId="128"/>
    <cellStyle name="40% - Accent2 7 2" xfId="296"/>
    <cellStyle name="40% - Accent2 8" xfId="137"/>
    <cellStyle name="40% - Accent2 8 2" xfId="305"/>
    <cellStyle name="40% - Accent2 9" xfId="147"/>
    <cellStyle name="40% - Accent2 9 2" xfId="315"/>
    <cellStyle name="40% - Accent3" xfId="9" builtinId="39" customBuiltin="1"/>
    <cellStyle name="40% - Accent3 10" xfId="163"/>
    <cellStyle name="40% - Accent3 10 2" xfId="331"/>
    <cellStyle name="40% - Accent3 11" xfId="177"/>
    <cellStyle name="40% - Accent3 11 2" xfId="345"/>
    <cellStyle name="40% - Accent3 12" xfId="191"/>
    <cellStyle name="40% - Accent3 12 2" xfId="360"/>
    <cellStyle name="40% - Accent3 13" xfId="208"/>
    <cellStyle name="40% - Accent3 14" xfId="373"/>
    <cellStyle name="40% - Accent3 15" xfId="392"/>
    <cellStyle name="40% - Accent3 16" xfId="407"/>
    <cellStyle name="40% - Accent3 17" xfId="421"/>
    <cellStyle name="40% - Accent3 18" xfId="436"/>
    <cellStyle name="40% - Accent3 19" xfId="449"/>
    <cellStyle name="40% - Accent3 2" xfId="56"/>
    <cellStyle name="40% - Accent3 2 2" xfId="228"/>
    <cellStyle name="40% - Accent3 20" xfId="463"/>
    <cellStyle name="40% - Accent3 21" xfId="477"/>
    <cellStyle name="40% - Accent3 22" xfId="493"/>
    <cellStyle name="40% - Accent3 23" xfId="506"/>
    <cellStyle name="40% - Accent3 3" xfId="69"/>
    <cellStyle name="40% - Accent3 3 2" xfId="239"/>
    <cellStyle name="40% - Accent3 4" xfId="82"/>
    <cellStyle name="40% - Accent3 4 2" xfId="251"/>
    <cellStyle name="40% - Accent3 5" xfId="100"/>
    <cellStyle name="40% - Accent3 5 2" xfId="268"/>
    <cellStyle name="40% - Accent3 6" xfId="115"/>
    <cellStyle name="40% - Accent3 6 2" xfId="283"/>
    <cellStyle name="40% - Accent3 7" xfId="132"/>
    <cellStyle name="40% - Accent3 7 2" xfId="300"/>
    <cellStyle name="40% - Accent3 8" xfId="144"/>
    <cellStyle name="40% - Accent3 8 2" xfId="312"/>
    <cellStyle name="40% - Accent3 9" xfId="154"/>
    <cellStyle name="40% - Accent3 9 2" xfId="322"/>
    <cellStyle name="40% - Accent4" xfId="10" builtinId="43" customBuiltin="1"/>
    <cellStyle name="40% - Accent4 10" xfId="165"/>
    <cellStyle name="40% - Accent4 10 2" xfId="333"/>
    <cellStyle name="40% - Accent4 11" xfId="179"/>
    <cellStyle name="40% - Accent4 11 2" xfId="347"/>
    <cellStyle name="40% - Accent4 12" xfId="193"/>
    <cellStyle name="40% - Accent4 12 2" xfId="361"/>
    <cellStyle name="40% - Accent4 13" xfId="209"/>
    <cellStyle name="40% - Accent4 14" xfId="375"/>
    <cellStyle name="40% - Accent4 15" xfId="394"/>
    <cellStyle name="40% - Accent4 16" xfId="409"/>
    <cellStyle name="40% - Accent4 17" xfId="423"/>
    <cellStyle name="40% - Accent4 18" xfId="438"/>
    <cellStyle name="40% - Accent4 19" xfId="451"/>
    <cellStyle name="40% - Accent4 2" xfId="60"/>
    <cellStyle name="40% - Accent4 2 2" xfId="231"/>
    <cellStyle name="40% - Accent4 20" xfId="465"/>
    <cellStyle name="40% - Accent4 21" xfId="479"/>
    <cellStyle name="40% - Accent4 22" xfId="494"/>
    <cellStyle name="40% - Accent4 23" xfId="508"/>
    <cellStyle name="40% - Accent4 3" xfId="72"/>
    <cellStyle name="40% - Accent4 3 2" xfId="242"/>
    <cellStyle name="40% - Accent4 4" xfId="84"/>
    <cellStyle name="40% - Accent4 4 2" xfId="253"/>
    <cellStyle name="40% - Accent4 5" xfId="103"/>
    <cellStyle name="40% - Accent4 5 2" xfId="271"/>
    <cellStyle name="40% - Accent4 6" xfId="119"/>
    <cellStyle name="40% - Accent4 6 2" xfId="287"/>
    <cellStyle name="40% - Accent4 7" xfId="136"/>
    <cellStyle name="40% - Accent4 7 2" xfId="304"/>
    <cellStyle name="40% - Accent4 8" xfId="146"/>
    <cellStyle name="40% - Accent4 8 2" xfId="314"/>
    <cellStyle name="40% - Accent4 9" xfId="156"/>
    <cellStyle name="40% - Accent4 9 2" xfId="324"/>
    <cellStyle name="40% - Accent5" xfId="11" builtinId="47" customBuiltin="1"/>
    <cellStyle name="40% - Accent5 10" xfId="167"/>
    <cellStyle name="40% - Accent5 10 2" xfId="335"/>
    <cellStyle name="40% - Accent5 11" xfId="181"/>
    <cellStyle name="40% - Accent5 11 2" xfId="349"/>
    <cellStyle name="40% - Accent5 12" xfId="195"/>
    <cellStyle name="40% - Accent5 12 2" xfId="362"/>
    <cellStyle name="40% - Accent5 13" xfId="210"/>
    <cellStyle name="40% - Accent5 14" xfId="377"/>
    <cellStyle name="40% - Accent5 15" xfId="397"/>
    <cellStyle name="40% - Accent5 16" xfId="411"/>
    <cellStyle name="40% - Accent5 17" xfId="425"/>
    <cellStyle name="40% - Accent5 18" xfId="440"/>
    <cellStyle name="40% - Accent5 19" xfId="453"/>
    <cellStyle name="40% - Accent5 2" xfId="64"/>
    <cellStyle name="40% - Accent5 2 2" xfId="234"/>
    <cellStyle name="40% - Accent5 20" xfId="467"/>
    <cellStyle name="40% - Accent5 21" xfId="481"/>
    <cellStyle name="40% - Accent5 22" xfId="495"/>
    <cellStyle name="40% - Accent5 23" xfId="510"/>
    <cellStyle name="40% - Accent5 3" xfId="75"/>
    <cellStyle name="40% - Accent5 3 2" xfId="245"/>
    <cellStyle name="40% - Accent5 4" xfId="86"/>
    <cellStyle name="40% - Accent5 4 2" xfId="255"/>
    <cellStyle name="40% - Accent5 5" xfId="106"/>
    <cellStyle name="40% - Accent5 5 2" xfId="274"/>
    <cellStyle name="40% - Accent5 6" xfId="121"/>
    <cellStyle name="40% - Accent5 6 2" xfId="289"/>
    <cellStyle name="40% - Accent5 7" xfId="139"/>
    <cellStyle name="40% - Accent5 7 2" xfId="307"/>
    <cellStyle name="40% - Accent5 8" xfId="149"/>
    <cellStyle name="40% - Accent5 8 2" xfId="317"/>
    <cellStyle name="40% - Accent5 9" xfId="159"/>
    <cellStyle name="40% - Accent5 9 2" xfId="327"/>
    <cellStyle name="40% - Accent6" xfId="12" builtinId="51" customBuiltin="1"/>
    <cellStyle name="40% - Accent6 10" xfId="169"/>
    <cellStyle name="40% - Accent6 10 2" xfId="337"/>
    <cellStyle name="40% - Accent6 11" xfId="183"/>
    <cellStyle name="40% - Accent6 11 2" xfId="351"/>
    <cellStyle name="40% - Accent6 12" xfId="197"/>
    <cellStyle name="40% - Accent6 12 2" xfId="363"/>
    <cellStyle name="40% - Accent6 13" xfId="211"/>
    <cellStyle name="40% - Accent6 14" xfId="379"/>
    <cellStyle name="40% - Accent6 15" xfId="399"/>
    <cellStyle name="40% - Accent6 16" xfId="413"/>
    <cellStyle name="40% - Accent6 17" xfId="427"/>
    <cellStyle name="40% - Accent6 18" xfId="442"/>
    <cellStyle name="40% - Accent6 19" xfId="455"/>
    <cellStyle name="40% - Accent6 2" xfId="67"/>
    <cellStyle name="40% - Accent6 2 2" xfId="237"/>
    <cellStyle name="40% - Accent6 20" xfId="469"/>
    <cellStyle name="40% - Accent6 21" xfId="483"/>
    <cellStyle name="40% - Accent6 22" xfId="496"/>
    <cellStyle name="40% - Accent6 23" xfId="512"/>
    <cellStyle name="40% - Accent6 3" xfId="79"/>
    <cellStyle name="40% - Accent6 3 2" xfId="248"/>
    <cellStyle name="40% - Accent6 4" xfId="89"/>
    <cellStyle name="40% - Accent6 4 2" xfId="257"/>
    <cellStyle name="40% - Accent6 5" xfId="110"/>
    <cellStyle name="40% - Accent6 5 2" xfId="278"/>
    <cellStyle name="40% - Accent6 6" xfId="123"/>
    <cellStyle name="40% - Accent6 6 2" xfId="291"/>
    <cellStyle name="40% - Accent6 7" xfId="142"/>
    <cellStyle name="40% - Accent6 7 2" xfId="310"/>
    <cellStyle name="40% - Accent6 8" xfId="152"/>
    <cellStyle name="40% - Accent6 8 2" xfId="320"/>
    <cellStyle name="40% - Accent6 9" xfId="162"/>
    <cellStyle name="40% - Accent6 9 2" xfId="330"/>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44" builtinId="3"/>
    <cellStyle name="Comma 2" xfId="364"/>
    <cellStyle name="Comma 3" xfId="383"/>
    <cellStyle name="Comma 4" xfId="385"/>
    <cellStyle name="Currency" xfId="514" builtinId="4"/>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Hyperlink 2" xfId="365"/>
    <cellStyle name="Input" xfId="35" builtinId="20" customBuiltin="1"/>
    <cellStyle name="Linked Cell" xfId="36" builtinId="24" customBuiltin="1"/>
    <cellStyle name="Neutral" xfId="37" builtinId="28" customBuiltin="1"/>
    <cellStyle name="Normal" xfId="0" builtinId="0"/>
    <cellStyle name="Normal 10" xfId="108"/>
    <cellStyle name="Normal 10 2" xfId="276"/>
    <cellStyle name="Normal 11" xfId="184"/>
    <cellStyle name="Normal 12" xfId="198"/>
    <cellStyle name="Normal 13" xfId="199"/>
    <cellStyle name="Normal 14" xfId="366"/>
    <cellStyle name="Normal 15" xfId="380"/>
    <cellStyle name="Normal 16" xfId="381"/>
    <cellStyle name="Normal 17" xfId="382"/>
    <cellStyle name="Normal 18" xfId="384"/>
    <cellStyle name="Normal 19" xfId="400"/>
    <cellStyle name="Normal 2" xfId="45"/>
    <cellStyle name="Normal 20" xfId="414"/>
    <cellStyle name="Normal 21" xfId="428"/>
    <cellStyle name="Normal 22" xfId="429"/>
    <cellStyle name="Normal 23" xfId="456"/>
    <cellStyle name="Normal 24" xfId="470"/>
    <cellStyle name="Normal 25" xfId="484"/>
    <cellStyle name="Normal 26" xfId="498"/>
    <cellStyle name="Normal 3" xfId="170"/>
    <cellStyle name="Normal 3 2" xfId="338"/>
    <cellStyle name="Normal 4" xfId="62"/>
    <cellStyle name="Normal 4 2" xfId="212"/>
    <cellStyle name="Normal 4 3" xfId="515"/>
    <cellStyle name="Normal 5" xfId="87"/>
    <cellStyle name="Normal 5 2" xfId="213"/>
    <cellStyle name="Normal 6" xfId="57"/>
    <cellStyle name="Normal 6 2" xfId="214"/>
    <cellStyle name="Normal 7" xfId="76"/>
    <cellStyle name="Normal 7 2" xfId="246"/>
    <cellStyle name="Normal 8" xfId="91"/>
    <cellStyle name="Normal 8 2" xfId="259"/>
    <cellStyle name="Normal 9" xfId="117"/>
    <cellStyle name="Normal 9 2" xfId="285"/>
    <cellStyle name="Note 10" xfId="80"/>
    <cellStyle name="Note 10 2" xfId="249"/>
    <cellStyle name="Note 11" xfId="98"/>
    <cellStyle name="Note 11 2" xfId="266"/>
    <cellStyle name="Note 12" xfId="113"/>
    <cellStyle name="Note 12 2" xfId="281"/>
    <cellStyle name="Note 13" xfId="171"/>
    <cellStyle name="Note 13 2" xfId="339"/>
    <cellStyle name="Note 14" xfId="185"/>
    <cellStyle name="Note 15" xfId="367"/>
    <cellStyle name="Note 16" xfId="386"/>
    <cellStyle name="Note 17" xfId="401"/>
    <cellStyle name="Note 18" xfId="415"/>
    <cellStyle name="Note 19" xfId="430"/>
    <cellStyle name="Note 2" xfId="38"/>
    <cellStyle name="Note 2 2" xfId="215"/>
    <cellStyle name="Note 20" xfId="443"/>
    <cellStyle name="Note 21" xfId="457"/>
    <cellStyle name="Note 22" xfId="471"/>
    <cellStyle name="Note 23" xfId="497"/>
    <cellStyle name="Note 24" xfId="500"/>
    <cellStyle name="Note 3" xfId="39"/>
    <cellStyle name="Note 3 2" xfId="216"/>
    <cellStyle name="Note 4" xfId="47"/>
    <cellStyle name="Note 4 2" xfId="217"/>
    <cellStyle name="Note 5" xfId="46"/>
    <cellStyle name="Note 5 2" xfId="218"/>
    <cellStyle name="Note 6" xfId="77"/>
    <cellStyle name="Note 6 2" xfId="219"/>
    <cellStyle name="Note 7" xfId="90"/>
    <cellStyle name="Note 7 2" xfId="258"/>
    <cellStyle name="Note 8" xfId="101"/>
    <cellStyle name="Note 8 2" xfId="269"/>
    <cellStyle name="Note 9" xfId="124"/>
    <cellStyle name="Note 9 2" xfId="292"/>
    <cellStyle name="Output" xfId="40" builtinId="21" customBuiltin="1"/>
    <cellStyle name="Percent" xfId="513" builtinId="5"/>
    <cellStyle name="Percent 2" xfId="395"/>
    <cellStyle name="Title" xfId="41" builtinId="15" customBuiltin="1"/>
    <cellStyle name="Title 2" xfId="499"/>
    <cellStyle name="Total" xfId="42" builtinId="25" customBuiltin="1"/>
    <cellStyle name="Warning Text" xfId="43" builtinId="11" customBuiltin="1"/>
  </cellStyles>
  <dxfs count="24">
    <dxf>
      <fill>
        <patternFill>
          <fgColor rgb="FFCCFFCC"/>
        </patternFill>
      </fill>
    </dxf>
    <dxf>
      <fill>
        <patternFill>
          <fgColor rgb="FFCCFFCC"/>
        </patternFill>
      </fill>
    </dxf>
    <dxf>
      <fill>
        <patternFill>
          <fgColor rgb="FFCCFFCC"/>
        </patternFill>
      </fill>
    </dxf>
    <dxf>
      <fill>
        <patternFill>
          <fgColor rgb="FFCCFFCC"/>
        </patternFill>
      </fill>
    </dxf>
    <dxf>
      <fill>
        <patternFill>
          <fgColor rgb="FFCCFFCC"/>
        </patternFill>
      </fill>
    </dxf>
    <dxf>
      <fill>
        <patternFill>
          <fgColor rgb="FFCCFFCC"/>
        </patternFill>
      </fill>
    </dxf>
    <dxf>
      <fill>
        <patternFill>
          <fgColor rgb="FFCCFFCC"/>
        </patternFill>
      </fill>
    </dxf>
    <dxf>
      <fill>
        <patternFill>
          <fgColor rgb="FFCCFFCC"/>
        </patternFill>
      </fill>
    </dxf>
    <dxf>
      <fill>
        <patternFill>
          <fgColor rgb="FFCCFFCC"/>
        </patternFill>
      </fill>
    </dxf>
    <dxf>
      <fill>
        <patternFill>
          <fgColor rgb="FFCCFFCC"/>
        </patternFill>
      </fill>
    </dxf>
    <dxf>
      <fill>
        <patternFill>
          <fgColor rgb="FFCCFFCC"/>
        </patternFill>
      </fill>
    </dxf>
    <dxf>
      <fill>
        <patternFill>
          <fgColor rgb="FFCCFFCC"/>
        </patternFill>
      </fill>
    </dxf>
    <dxf>
      <fill>
        <patternFill>
          <fgColor rgb="FFCCFFCC"/>
        </patternFill>
      </fill>
    </dxf>
    <dxf>
      <fill>
        <patternFill>
          <fgColor rgb="FFCCFFCC"/>
        </patternFill>
      </fill>
    </dxf>
    <dxf>
      <fill>
        <patternFill>
          <fgColor rgb="FFCCFFCC"/>
        </patternFill>
      </fill>
    </dxf>
    <dxf>
      <fill>
        <patternFill>
          <fgColor rgb="FFCCFFCC"/>
        </patternFill>
      </fill>
    </dxf>
    <dxf>
      <fill>
        <patternFill>
          <fgColor rgb="FFCCFFCC"/>
        </patternFill>
      </fill>
    </dxf>
    <dxf>
      <fill>
        <patternFill>
          <fgColor rgb="FFCCFFCC"/>
        </patternFill>
      </fill>
    </dxf>
    <dxf>
      <fill>
        <patternFill>
          <fgColor rgb="FFCCFFCC"/>
        </patternFill>
      </fill>
    </dxf>
    <dxf>
      <fill>
        <patternFill>
          <fgColor rgb="FFCCFFCC"/>
        </patternFill>
      </fill>
    </dxf>
    <dxf>
      <fill>
        <patternFill>
          <fgColor rgb="FFCCFFCC"/>
        </patternFill>
      </fill>
    </dxf>
    <dxf>
      <fill>
        <patternFill>
          <fgColor rgb="FFCCFFCC"/>
        </patternFill>
      </fill>
    </dxf>
    <dxf>
      <fill>
        <patternFill>
          <fgColor rgb="FFCCFFCC"/>
        </patternFill>
      </fill>
    </dxf>
    <dxf>
      <fill>
        <patternFill>
          <fgColor rgb="FFCCFFCC"/>
        </patternFill>
      </fill>
    </dxf>
  </dxfs>
  <tableStyles count="0" defaultTableStyle="TableStyleMedium9" defaultPivotStyle="PivotStyleLight16"/>
  <colors>
    <mruColors>
      <color rgb="FFCCFFCC"/>
      <color rgb="FFC00000"/>
      <color rgb="FFFF6600"/>
      <color rgb="FFFF99FF"/>
      <color rgb="FFFFCCCC"/>
      <color rgb="FF99FF99"/>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19.xml"/><Relationship Id="rId1" Type="http://schemas.openxmlformats.org/officeDocument/2006/relationships/themeOverride" Target="../theme/themeOverride4.xml"/></Relationships>
</file>

<file path=xl/charts/_rels/chart12.xml.rels><?xml version="1.0" encoding="UTF-8" standalone="yes"?>
<Relationships xmlns="http://schemas.openxmlformats.org/package/2006/relationships"><Relationship Id="rId2" Type="http://schemas.openxmlformats.org/officeDocument/2006/relationships/chartUserShapes" Target="../drawings/drawing21.xml"/><Relationship Id="rId1" Type="http://schemas.openxmlformats.org/officeDocument/2006/relationships/themeOverride" Target="../theme/themeOverride5.xml"/></Relationships>
</file>

<file path=xl/charts/_rels/chart13.xml.rels><?xml version="1.0" encoding="UTF-8" standalone="yes"?>
<Relationships xmlns="http://schemas.openxmlformats.org/package/2006/relationships"><Relationship Id="rId2" Type="http://schemas.openxmlformats.org/officeDocument/2006/relationships/chartUserShapes" Target="../drawings/drawing23.xml"/><Relationship Id="rId1" Type="http://schemas.openxmlformats.org/officeDocument/2006/relationships/themeOverride" Target="../theme/themeOverride6.xml"/></Relationships>
</file>

<file path=xl/charts/_rels/chart14.xml.rels><?xml version="1.0" encoding="UTF-8" standalone="yes"?>
<Relationships xmlns="http://schemas.openxmlformats.org/package/2006/relationships"><Relationship Id="rId2" Type="http://schemas.openxmlformats.org/officeDocument/2006/relationships/chartUserShapes" Target="../drawings/drawing25.xml"/><Relationship Id="rId1" Type="http://schemas.openxmlformats.org/officeDocument/2006/relationships/themeOverride" Target="../theme/themeOverride7.xml"/></Relationships>
</file>

<file path=xl/charts/_rels/chart15.xml.rels><?xml version="1.0" encoding="UTF-8" standalone="yes"?>
<Relationships xmlns="http://schemas.openxmlformats.org/package/2006/relationships"><Relationship Id="rId2" Type="http://schemas.openxmlformats.org/officeDocument/2006/relationships/chartUserShapes" Target="../drawings/drawing27.xml"/><Relationship Id="rId1" Type="http://schemas.openxmlformats.org/officeDocument/2006/relationships/themeOverride" Target="../theme/themeOverride8.xml"/></Relationships>
</file>

<file path=xl/charts/_rels/chart16.xml.rels><?xml version="1.0" encoding="UTF-8" standalone="yes"?>
<Relationships xmlns="http://schemas.openxmlformats.org/package/2006/relationships"><Relationship Id="rId2" Type="http://schemas.openxmlformats.org/officeDocument/2006/relationships/chartUserShapes" Target="../drawings/drawing29.xml"/><Relationship Id="rId1" Type="http://schemas.openxmlformats.org/officeDocument/2006/relationships/themeOverride" Target="../theme/themeOverride9.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18.xml.rels><?xml version="1.0" encoding="UTF-8" standalone="yes"?>
<Relationships xmlns="http://schemas.openxmlformats.org/package/2006/relationships"><Relationship Id="rId2" Type="http://schemas.openxmlformats.org/officeDocument/2006/relationships/chartUserShapes" Target="../drawings/drawing33.xml"/><Relationship Id="rId1" Type="http://schemas.openxmlformats.org/officeDocument/2006/relationships/themeOverride" Target="../theme/themeOverride10.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0.xml.rels><?xml version="1.0" encoding="UTF-8" standalone="yes"?>
<Relationships xmlns="http://schemas.openxmlformats.org/package/2006/relationships"><Relationship Id="rId2" Type="http://schemas.openxmlformats.org/officeDocument/2006/relationships/chartUserShapes" Target="../drawings/drawing37.xml"/><Relationship Id="rId1" Type="http://schemas.openxmlformats.org/officeDocument/2006/relationships/themeOverride" Target="../theme/themeOverride11.xml"/></Relationships>
</file>

<file path=xl/charts/_rels/chart21.xml.rels><?xml version="1.0" encoding="UTF-8" standalone="yes"?>
<Relationships xmlns="http://schemas.openxmlformats.org/package/2006/relationships"><Relationship Id="rId2" Type="http://schemas.openxmlformats.org/officeDocument/2006/relationships/chartUserShapes" Target="../drawings/drawing39.xml"/><Relationship Id="rId1" Type="http://schemas.openxmlformats.org/officeDocument/2006/relationships/themeOverride" Target="../theme/themeOverride12.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41.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43.xml"/></Relationships>
</file>

<file path=xl/charts/_rels/chart24.xml.rels><?xml version="1.0" encoding="UTF-8" standalone="yes"?>
<Relationships xmlns="http://schemas.openxmlformats.org/package/2006/relationships"><Relationship Id="rId2" Type="http://schemas.openxmlformats.org/officeDocument/2006/relationships/chartUserShapes" Target="../drawings/drawing45.xml"/><Relationship Id="rId1" Type="http://schemas.openxmlformats.org/officeDocument/2006/relationships/themeOverride" Target="../theme/themeOverride13.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47.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49.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100902615286529"/>
          <c:y val="0.12967721402870291"/>
          <c:w val="0.88189640451570062"/>
          <c:h val="0.77006076295257664"/>
        </c:manualLayout>
      </c:layout>
      <c:barChart>
        <c:barDir val="col"/>
        <c:grouping val="clustered"/>
        <c:varyColors val="0"/>
        <c:ser>
          <c:idx val="0"/>
          <c:order val="0"/>
          <c:tx>
            <c:strRef>
              <c:f>'Ex 1 HDD'!$B$7</c:f>
              <c:strCache>
                <c:ptCount val="1"/>
                <c:pt idx="0">
                  <c:v>Actual</c:v>
                </c:pt>
              </c:strCache>
            </c:strRef>
          </c:tx>
          <c:spPr>
            <a:solidFill>
              <a:schemeClr val="bg1"/>
            </a:solidFill>
            <a:ln>
              <a:solidFill>
                <a:schemeClr val="tx1"/>
              </a:solidFill>
            </a:ln>
          </c:spPr>
          <c:invertIfNegative val="0"/>
          <c:dLbls>
            <c:dLbl>
              <c:idx val="1"/>
              <c:layout>
                <c:manualLayout>
                  <c:x val="-6.0281534065100835E-17"/>
                  <c:y val="-5.7061340941512474E-3"/>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a:lstStyle/>
              <a:p>
                <a:pPr>
                  <a:defRPr sz="1400"/>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'Ex 1 HDD'!$A$14:$A$16</c:f>
              <c:numCache>
                <c:formatCode>mmm\-yy</c:formatCode>
                <c:ptCount val="3"/>
                <c:pt idx="0">
                  <c:v>42705</c:v>
                </c:pt>
                <c:pt idx="1">
                  <c:v>42736</c:v>
                </c:pt>
                <c:pt idx="2">
                  <c:v>42767</c:v>
                </c:pt>
              </c:numCache>
            </c:numRef>
          </c:cat>
          <c:val>
            <c:numRef>
              <c:f>'Ex 1 HDD'!$B$14:$B$16</c:f>
              <c:numCache>
                <c:formatCode>0</c:formatCode>
                <c:ptCount val="3"/>
                <c:pt idx="0">
                  <c:v>1090</c:v>
                </c:pt>
                <c:pt idx="1">
                  <c:v>1167</c:v>
                </c:pt>
                <c:pt idx="2">
                  <c:v>694</c:v>
                </c:pt>
              </c:numCache>
            </c:numRef>
          </c:val>
        </c:ser>
        <c:ser>
          <c:idx val="1"/>
          <c:order val="1"/>
          <c:tx>
            <c:strRef>
              <c:f>'Ex 1 HDD'!$C$7</c:f>
              <c:strCache>
                <c:ptCount val="1"/>
                <c:pt idx="0">
                  <c:v>IRP Forecast (Normal)</c:v>
                </c:pt>
              </c:strCache>
            </c:strRef>
          </c:tx>
          <c:spPr>
            <a:ln>
              <a:solidFill>
                <a:schemeClr val="tx1"/>
              </a:solidFill>
            </a:ln>
          </c:spPr>
          <c:invertIfNegative val="0"/>
          <c:dLbls>
            <c:dLbl>
              <c:idx val="0"/>
              <c:layout>
                <c:manualLayout>
                  <c:x val="0"/>
                  <c:y val="-1.1412268188302425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0"/>
                  <c:y val="-1.9020446980504392E-3"/>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wrap="square" lIns="38100" tIns="19050" rIns="38100" bIns="19050" anchor="ctr">
                <a:spAutoFit/>
              </a:bodyPr>
              <a:lstStyle/>
              <a:p>
                <a:pPr>
                  <a:defRPr sz="1400"/>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'Ex 1 HDD'!$A$14:$A$16</c:f>
              <c:numCache>
                <c:formatCode>mmm\-yy</c:formatCode>
                <c:ptCount val="3"/>
                <c:pt idx="0">
                  <c:v>42705</c:v>
                </c:pt>
                <c:pt idx="1">
                  <c:v>42736</c:v>
                </c:pt>
                <c:pt idx="2">
                  <c:v>42767</c:v>
                </c:pt>
              </c:numCache>
            </c:numRef>
          </c:cat>
          <c:val>
            <c:numRef>
              <c:f>'Ex 1 HDD'!$C$14:$C$16</c:f>
              <c:numCache>
                <c:formatCode>0</c:formatCode>
                <c:ptCount val="3"/>
                <c:pt idx="0">
                  <c:v>1070.32</c:v>
                </c:pt>
                <c:pt idx="1">
                  <c:v>1096.1500000000001</c:v>
                </c:pt>
                <c:pt idx="2">
                  <c:v>865.63</c:v>
                </c:pt>
              </c:numCache>
            </c:numRef>
          </c:val>
        </c:ser>
        <c:dLbls>
          <c:showLegendKey val="0"/>
          <c:showVal val="0"/>
          <c:showCatName val="0"/>
          <c:showSerName val="0"/>
          <c:showPercent val="0"/>
          <c:showBubbleSize val="0"/>
        </c:dLbls>
        <c:gapWidth val="150"/>
        <c:axId val="211849624"/>
        <c:axId val="211115944"/>
      </c:barChart>
      <c:dateAx>
        <c:axId val="211849624"/>
        <c:scaling>
          <c:orientation val="minMax"/>
        </c:scaling>
        <c:delete val="0"/>
        <c:axPos val="b"/>
        <c:numFmt formatCode="mmm\-yy" sourceLinked="0"/>
        <c:majorTickMark val="out"/>
        <c:minorTickMark val="none"/>
        <c:tickLblPos val="nextTo"/>
        <c:txPr>
          <a:bodyPr/>
          <a:lstStyle/>
          <a:p>
            <a:pPr>
              <a:defRPr sz="1400"/>
            </a:pPr>
            <a:endParaRPr lang="en-US"/>
          </a:p>
        </c:txPr>
        <c:crossAx val="211115944"/>
        <c:crosses val="autoZero"/>
        <c:auto val="1"/>
        <c:lblOffset val="100"/>
        <c:baseTimeUnit val="months"/>
      </c:dateAx>
      <c:valAx>
        <c:axId val="211115944"/>
        <c:scaling>
          <c:orientation val="minMax"/>
        </c:scaling>
        <c:delete val="0"/>
        <c:axPos val="l"/>
        <c:majorGridlines/>
        <c:title>
          <c:tx>
            <c:rich>
              <a:bodyPr rot="-5400000" vert="horz"/>
              <a:lstStyle/>
              <a:p>
                <a:pPr>
                  <a:defRPr sz="1400"/>
                </a:pPr>
                <a:r>
                  <a:rPr lang="en-US" sz="1400"/>
                  <a:t>Degree Days</a:t>
                </a:r>
              </a:p>
            </c:rich>
          </c:tx>
          <c:layout/>
          <c:overlay val="0"/>
        </c:title>
        <c:numFmt formatCode="0" sourceLinked="1"/>
        <c:majorTickMark val="out"/>
        <c:minorTickMark val="none"/>
        <c:tickLblPos val="nextTo"/>
        <c:txPr>
          <a:bodyPr/>
          <a:lstStyle/>
          <a:p>
            <a:pPr>
              <a:defRPr sz="1400"/>
            </a:pPr>
            <a:endParaRPr lang="en-US"/>
          </a:p>
        </c:txPr>
        <c:crossAx val="211849624"/>
        <c:crosses val="autoZero"/>
        <c:crossBetween val="between"/>
      </c:valAx>
    </c:plotArea>
    <c:legend>
      <c:legendPos val="r"/>
      <c:layout>
        <c:manualLayout>
          <c:xMode val="edge"/>
          <c:yMode val="edge"/>
          <c:x val="0.77596447792977785"/>
          <c:y val="0.15583272490368089"/>
          <c:w val="0.16076636536339245"/>
          <c:h val="0.17848398051527439"/>
        </c:manualLayout>
      </c:layout>
      <c:overlay val="0"/>
      <c:spPr>
        <a:solidFill>
          <a:sysClr val="window" lastClr="FFFFFF"/>
        </a:solidFill>
        <a:ln>
          <a:solidFill>
            <a:sysClr val="windowText" lastClr="000000"/>
          </a:solidFill>
        </a:ln>
        <a:effectLst>
          <a:outerShdw blurRad="50800" dist="50800" dir="5400000" algn="ctr" rotWithShape="0">
            <a:srgbClr val="000000"/>
          </a:outerShdw>
        </a:effectLst>
      </c:spPr>
      <c:txPr>
        <a:bodyPr/>
        <a:lstStyle/>
        <a:p>
          <a:pPr>
            <a:defRPr sz="1400"/>
          </a:pPr>
          <a:endParaRPr lang="en-US"/>
        </a:p>
      </c:txPr>
    </c:legend>
    <c:plotVisOnly val="1"/>
    <c:dispBlanksAs val="gap"/>
    <c:showDLblsOverMax val="0"/>
  </c:chart>
  <c:spPr>
    <a:ln>
      <a:noFill/>
    </a:ln>
  </c:spPr>
  <c:printSettings>
    <c:headerFooter/>
    <c:pageMargins b="0.75000000000001332" l="0.70000000000000062" r="0.70000000000000062" t="0.75000000000001332" header="0.30000000000000032" footer="0.30000000000000032"/>
    <c:pageSetup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800"/>
            </a:pPr>
            <a:r>
              <a:rPr lang="en-US" sz="1800"/>
              <a:t>Firm Sales Variance</a:t>
            </a:r>
          </a:p>
          <a:p>
            <a:pPr>
              <a:defRPr sz="1800"/>
            </a:pPr>
            <a:r>
              <a:rPr lang="en-US" sz="1800"/>
              <a:t>Cumulative Year-to-date  June 2016 to Present</a:t>
            </a:r>
          </a:p>
        </c:rich>
      </c:tx>
      <c:layout>
        <c:manualLayout>
          <c:xMode val="edge"/>
          <c:yMode val="edge"/>
          <c:x val="0.3115885628196291"/>
          <c:y val="1.4675116829908456E-2"/>
        </c:manualLayout>
      </c:layout>
      <c:overlay val="0"/>
    </c:title>
    <c:autoTitleDeleted val="0"/>
    <c:plotArea>
      <c:layout>
        <c:manualLayout>
          <c:layoutTarget val="inner"/>
          <c:xMode val="edge"/>
          <c:yMode val="edge"/>
          <c:x val="0.13703436441737674"/>
          <c:y val="0.10872994432181675"/>
          <c:w val="0.86194688825572485"/>
          <c:h val="0.75856427677841864"/>
        </c:manualLayout>
      </c:layout>
      <c:barChart>
        <c:barDir val="col"/>
        <c:grouping val="clustered"/>
        <c:varyColors val="0"/>
        <c:ser>
          <c:idx val="0"/>
          <c:order val="0"/>
          <c:tx>
            <c:strRef>
              <c:f>'Exhibit Firm Sales Volume'!$G$4</c:f>
              <c:strCache>
                <c:ptCount val="1"/>
                <c:pt idx="0">
                  <c:v>Actual</c:v>
                </c:pt>
              </c:strCache>
            </c:strRef>
          </c:tx>
          <c:spPr>
            <a:solidFill>
              <a:schemeClr val="bg1"/>
            </a:solidFill>
            <a:ln>
              <a:solidFill>
                <a:schemeClr val="tx1"/>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'Exhibit Firm Sales Volume'!$A$5:$A$13</c:f>
              <c:numCache>
                <c:formatCode>[$-409]mmm\-yy;@</c:formatCode>
                <c:ptCount val="9"/>
                <c:pt idx="0">
                  <c:v>42522</c:v>
                </c:pt>
                <c:pt idx="1">
                  <c:v>42552</c:v>
                </c:pt>
                <c:pt idx="2">
                  <c:v>42583</c:v>
                </c:pt>
                <c:pt idx="3">
                  <c:v>42614</c:v>
                </c:pt>
                <c:pt idx="4">
                  <c:v>42644</c:v>
                </c:pt>
                <c:pt idx="5">
                  <c:v>42675</c:v>
                </c:pt>
                <c:pt idx="6">
                  <c:v>42705</c:v>
                </c:pt>
                <c:pt idx="7">
                  <c:v>42736</c:v>
                </c:pt>
                <c:pt idx="8">
                  <c:v>42767</c:v>
                </c:pt>
              </c:numCache>
            </c:numRef>
          </c:cat>
          <c:val>
            <c:numRef>
              <c:f>'Exhibit Firm Sales Volume'!$G$5:$G$13</c:f>
              <c:numCache>
                <c:formatCode>_(* #,##0_);_(* \(#,##0\);_(* "-"??_);_(@_)</c:formatCode>
                <c:ptCount val="9"/>
                <c:pt idx="0">
                  <c:v>2715.8141700000001</c:v>
                </c:pt>
                <c:pt idx="1">
                  <c:v>5356.1314899999998</c:v>
                </c:pt>
                <c:pt idx="2">
                  <c:v>7825.11643</c:v>
                </c:pt>
                <c:pt idx="3">
                  <c:v>10637.763599999998</c:v>
                </c:pt>
                <c:pt idx="4">
                  <c:v>15853.74365</c:v>
                </c:pt>
                <c:pt idx="5">
                  <c:v>25174.724889999998</c:v>
                </c:pt>
                <c:pt idx="6">
                  <c:v>44766.853069999997</c:v>
                </c:pt>
                <c:pt idx="7">
                  <c:v>65860.330249999999</c:v>
                </c:pt>
                <c:pt idx="8">
                  <c:v>80350.073380000002</c:v>
                </c:pt>
              </c:numCache>
            </c:numRef>
          </c:val>
        </c:ser>
        <c:ser>
          <c:idx val="1"/>
          <c:order val="1"/>
          <c:tx>
            <c:strRef>
              <c:f>'Exhibit Firm Sales Volume'!$H$4</c:f>
              <c:strCache>
                <c:ptCount val="1"/>
                <c:pt idx="0">
                  <c:v>IRP Forecast (Normal)</c:v>
                </c:pt>
              </c:strCache>
            </c:strRef>
          </c:tx>
          <c:spPr>
            <a:ln>
              <a:solidFill>
                <a:sysClr val="windowText" lastClr="000000"/>
              </a:solidFill>
            </a:ln>
          </c:spPr>
          <c:invertIfNegative val="0"/>
          <c:dLbls>
            <c:dLbl>
              <c:idx val="0"/>
              <c:layout>
                <c:manualLayout>
                  <c:x val="9.8887515451174281E-3"/>
                  <c:y val="0"/>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9.8887515451174281E-3"/>
                  <c:y val="-1.6319871538195438E-3"/>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9.8887515451174281E-3"/>
                  <c:y val="0"/>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9.8887515451174281E-3"/>
                  <c:y val="-6.5279486152781752E-3"/>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'Exhibit Firm Sales Volume'!$A$5:$A$13</c:f>
              <c:numCache>
                <c:formatCode>[$-409]mmm\-yy;@</c:formatCode>
                <c:ptCount val="9"/>
                <c:pt idx="0">
                  <c:v>42522</c:v>
                </c:pt>
                <c:pt idx="1">
                  <c:v>42552</c:v>
                </c:pt>
                <c:pt idx="2">
                  <c:v>42583</c:v>
                </c:pt>
                <c:pt idx="3">
                  <c:v>42614</c:v>
                </c:pt>
                <c:pt idx="4">
                  <c:v>42644</c:v>
                </c:pt>
                <c:pt idx="5">
                  <c:v>42675</c:v>
                </c:pt>
                <c:pt idx="6">
                  <c:v>42705</c:v>
                </c:pt>
                <c:pt idx="7">
                  <c:v>42736</c:v>
                </c:pt>
                <c:pt idx="8">
                  <c:v>42767</c:v>
                </c:pt>
              </c:numCache>
            </c:numRef>
          </c:cat>
          <c:val>
            <c:numRef>
              <c:f>'Exhibit Firm Sales Volume'!$H$5:$H$13</c:f>
              <c:numCache>
                <c:formatCode>_(* #,##0_);_(* \(#,##0\);_(* "-"??_);_(@_)</c:formatCode>
                <c:ptCount val="9"/>
                <c:pt idx="0">
                  <c:v>3238.8878755569458</c:v>
                </c:pt>
                <c:pt idx="1">
                  <c:v>5926.924697637558</c:v>
                </c:pt>
                <c:pt idx="2">
                  <c:v>8494.3703272342682</c:v>
                </c:pt>
                <c:pt idx="3">
                  <c:v>11288.736392974854</c:v>
                </c:pt>
                <c:pt idx="4">
                  <c:v>18255.759899616241</c:v>
                </c:pt>
                <c:pt idx="5">
                  <c:v>30119.645111560822</c:v>
                </c:pt>
                <c:pt idx="6">
                  <c:v>48611.469582080841</c:v>
                </c:pt>
                <c:pt idx="7">
                  <c:v>68109.679028987885</c:v>
                </c:pt>
                <c:pt idx="8">
                  <c:v>83816.192341327667</c:v>
                </c:pt>
              </c:numCache>
            </c:numRef>
          </c:val>
        </c:ser>
        <c:dLbls>
          <c:showLegendKey val="0"/>
          <c:showVal val="0"/>
          <c:showCatName val="0"/>
          <c:showSerName val="0"/>
          <c:showPercent val="0"/>
          <c:showBubbleSize val="0"/>
        </c:dLbls>
        <c:gapWidth val="150"/>
        <c:axId val="213327432"/>
        <c:axId val="213327824"/>
      </c:barChart>
      <c:dateAx>
        <c:axId val="213327432"/>
        <c:scaling>
          <c:orientation val="minMax"/>
        </c:scaling>
        <c:delete val="0"/>
        <c:axPos val="b"/>
        <c:numFmt formatCode="mmm\-yy" sourceLinked="0"/>
        <c:majorTickMark val="out"/>
        <c:minorTickMark val="none"/>
        <c:tickLblPos val="nextTo"/>
        <c:txPr>
          <a:bodyPr/>
          <a:lstStyle/>
          <a:p>
            <a:pPr>
              <a:defRPr sz="1400"/>
            </a:pPr>
            <a:endParaRPr lang="en-US"/>
          </a:p>
        </c:txPr>
        <c:crossAx val="213327824"/>
        <c:crosses val="autoZero"/>
        <c:auto val="1"/>
        <c:lblOffset val="100"/>
        <c:baseTimeUnit val="months"/>
      </c:dateAx>
      <c:valAx>
        <c:axId val="213327824"/>
        <c:scaling>
          <c:orientation val="minMax"/>
          <c:min val="0"/>
        </c:scaling>
        <c:delete val="0"/>
        <c:axPos val="l"/>
        <c:majorGridlines/>
        <c:title>
          <c:tx>
            <c:rich>
              <a:bodyPr rot="-5400000" vert="horz"/>
              <a:lstStyle/>
              <a:p>
                <a:pPr>
                  <a:defRPr sz="1400"/>
                </a:pPr>
                <a:r>
                  <a:rPr lang="en-US" sz="1400"/>
                  <a:t>Mdth</a:t>
                </a:r>
              </a:p>
            </c:rich>
          </c:tx>
          <c:layout>
            <c:manualLayout>
              <c:xMode val="edge"/>
              <c:yMode val="edge"/>
              <c:x val="5.2584024342091761E-3"/>
              <c:y val="0.44061250258436935"/>
            </c:manualLayout>
          </c:layout>
          <c:overlay val="0"/>
        </c:title>
        <c:numFmt formatCode="#,##0" sourceLinked="0"/>
        <c:majorTickMark val="out"/>
        <c:minorTickMark val="none"/>
        <c:tickLblPos val="nextTo"/>
        <c:txPr>
          <a:bodyPr/>
          <a:lstStyle/>
          <a:p>
            <a:pPr>
              <a:defRPr sz="1400"/>
            </a:pPr>
            <a:endParaRPr lang="en-US"/>
          </a:p>
        </c:txPr>
        <c:crossAx val="213327432"/>
        <c:crosses val="autoZero"/>
        <c:crossBetween val="between"/>
      </c:valAx>
    </c:plotArea>
    <c:legend>
      <c:legendPos val="b"/>
      <c:legendEntry>
        <c:idx val="0"/>
        <c:txPr>
          <a:bodyPr/>
          <a:lstStyle/>
          <a:p>
            <a:pPr>
              <a:defRPr sz="1400"/>
            </a:pPr>
            <a:endParaRPr lang="en-US"/>
          </a:p>
        </c:txPr>
      </c:legendEntry>
      <c:layout>
        <c:manualLayout>
          <c:xMode val="edge"/>
          <c:yMode val="edge"/>
          <c:x val="0.17851467577677635"/>
          <c:y val="0.12622856924553347"/>
          <c:w val="0.27930090938879859"/>
          <c:h val="5.0923812836665375E-2"/>
        </c:manualLayout>
      </c:layout>
      <c:overlay val="1"/>
      <c:spPr>
        <a:solidFill>
          <a:sysClr val="window" lastClr="FFFFFF"/>
        </a:solidFill>
        <a:ln>
          <a:solidFill>
            <a:sysClr val="windowText" lastClr="000000"/>
          </a:solidFill>
        </a:ln>
        <a:effectLst>
          <a:outerShdw blurRad="50800" dist="50800" dir="5400000" algn="ctr" rotWithShape="0">
            <a:srgbClr val="000000"/>
          </a:outerShdw>
        </a:effectLst>
      </c:spPr>
      <c:txPr>
        <a:bodyPr/>
        <a:lstStyle/>
        <a:p>
          <a:pPr>
            <a:defRPr sz="1400"/>
          </a:pPr>
          <a:endParaRPr lang="en-US"/>
        </a:p>
      </c:txPr>
    </c:legend>
    <c:plotVisOnly val="1"/>
    <c:dispBlanksAs val="gap"/>
    <c:showDLblsOverMax val="0"/>
  </c:chart>
  <c:spPr>
    <a:ln>
      <a:noFill/>
    </a:ln>
  </c:spPr>
  <c:printSettings>
    <c:headerFooter/>
    <c:pageMargins b="0.75000000000001465" l="0.70000000000000095" r="0.70000000000000095" t="0.75000000000001465" header="0.30000000000000032" footer="0.30000000000000032"/>
    <c:pageSetup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975607138327039"/>
          <c:y val="0.11261135836281336"/>
          <c:w val="0.86652447254502118"/>
          <c:h val="0.78427598223862183"/>
        </c:manualLayout>
      </c:layout>
      <c:barChart>
        <c:barDir val="col"/>
        <c:grouping val="clustered"/>
        <c:varyColors val="0"/>
        <c:ser>
          <c:idx val="0"/>
          <c:order val="0"/>
          <c:tx>
            <c:strRef>
              <c:f>'Ex 4 Purchase Gas'!$B$5</c:f>
              <c:strCache>
                <c:ptCount val="1"/>
                <c:pt idx="0">
                  <c:v>Actual</c:v>
                </c:pt>
              </c:strCache>
            </c:strRef>
          </c:tx>
          <c:spPr>
            <a:solidFill>
              <a:schemeClr val="bg1"/>
            </a:solidFill>
            <a:ln>
              <a:solidFill>
                <a:schemeClr val="tx1"/>
              </a:solidFill>
            </a:ln>
          </c:spPr>
          <c:invertIfNegative val="0"/>
          <c:dLbls>
            <c:dLbl>
              <c:idx val="0"/>
              <c:layout>
                <c:manualLayout>
                  <c:x val="1.7616199462056089E-3"/>
                  <c:y val="-1.5648522195595115E-2"/>
                </c:manualLayout>
              </c:layout>
              <c:spPr>
                <a:noFill/>
                <a:ln>
                  <a:noFill/>
                </a:ln>
                <a:effectLst/>
              </c:spPr>
              <c:txPr>
                <a:bodyPr anchorCtr="0"/>
                <a:lstStyle/>
                <a:p>
                  <a:pPr algn="ctr">
                    <a:defRPr lang="en-US" sz="14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dLbl>
              <c:idx val="1"/>
              <c:layout>
                <c:manualLayout>
                  <c:x val="-2.6019052451157359E-7"/>
                  <c:y val="1.1799003385446384E-2"/>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2"/>
              <c:layout>
                <c:manualLayout>
                  <c:x val="1.5854709611111525E-3"/>
                  <c:y val="-7.0599870668340369E-5"/>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4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'Ex 4 Purchase Gas'!$A$12:$A$14</c:f>
              <c:numCache>
                <c:formatCode>mmm\-yy</c:formatCode>
                <c:ptCount val="3"/>
                <c:pt idx="0">
                  <c:v>42705</c:v>
                </c:pt>
                <c:pt idx="1">
                  <c:v>42736</c:v>
                </c:pt>
                <c:pt idx="2">
                  <c:v>42767</c:v>
                </c:pt>
              </c:numCache>
            </c:numRef>
          </c:cat>
          <c:val>
            <c:numRef>
              <c:f>'Ex 4 Purchase Gas'!$B$12:$B$14</c:f>
              <c:numCache>
                <c:formatCode>#,##0</c:formatCode>
                <c:ptCount val="3"/>
                <c:pt idx="0">
                  <c:v>10338.923000000001</c:v>
                </c:pt>
                <c:pt idx="1">
                  <c:v>13559.912</c:v>
                </c:pt>
                <c:pt idx="2">
                  <c:v>6978.71</c:v>
                </c:pt>
              </c:numCache>
            </c:numRef>
          </c:val>
        </c:ser>
        <c:ser>
          <c:idx val="1"/>
          <c:order val="1"/>
          <c:tx>
            <c:strRef>
              <c:f>'Ex 4 Purchase Gas'!$C$5</c:f>
              <c:strCache>
                <c:ptCount val="1"/>
                <c:pt idx="0">
                  <c:v>IRP Forecast (Normal)</c:v>
                </c:pt>
              </c:strCache>
            </c:strRef>
          </c:tx>
          <c:spPr>
            <a:ln>
              <a:solidFill>
                <a:sysClr val="windowText" lastClr="000000"/>
              </a:solidFill>
            </a:ln>
          </c:spPr>
          <c:invertIfNegative val="0"/>
          <c:dLbls>
            <c:dLbl>
              <c:idx val="0"/>
              <c:layout>
                <c:manualLayout>
                  <c:x val="-6.0580327294667622E-17"/>
                  <c:y val="-2.1256038647342997E-2"/>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1.6522098306484924E-3"/>
                  <c:y val="-7.7293925215870113E-3"/>
                </c:manualLayout>
              </c:layout>
              <c:spPr>
                <a:noFill/>
                <a:ln>
                  <a:noFill/>
                </a:ln>
                <a:effectLst/>
              </c:spPr>
              <c:txPr>
                <a:bodyPr wrap="square" lIns="38100" tIns="19050" rIns="38100" bIns="19050" anchor="ctr">
                  <a:noAutofit/>
                </a:bodyPr>
                <a:lstStyle/>
                <a:p>
                  <a:pPr>
                    <a:defRPr sz="1400"/>
                  </a:pPr>
                  <a:endParaRPr lang="en-US"/>
                </a:p>
              </c:txPr>
              <c:showLegendKey val="0"/>
              <c:showVal val="1"/>
              <c:showCatName val="0"/>
              <c:showSerName val="0"/>
              <c:showPercent val="0"/>
              <c:showBubbleSize val="0"/>
              <c:extLst>
                <c:ext xmlns:c15="http://schemas.microsoft.com/office/drawing/2012/chart" uri="{CE6537A1-D6FC-4f65-9D91-7224C49458BB}">
                  <c15:layout>
                    <c:manualLayout>
                      <c:w val="6.8211547905954129E-2"/>
                      <c:h val="3.4956521739130428E-2"/>
                    </c:manualLayout>
                  </c15:layout>
                </c:ext>
              </c:extLst>
            </c:dLbl>
            <c:dLbl>
              <c:idx val="2"/>
              <c:layout>
                <c:manualLayout>
                  <c:x val="-1.6522098306484924E-3"/>
                  <c:y val="5.7971014492753624E-3"/>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wrap="square" lIns="38100" tIns="19050" rIns="38100" bIns="19050" anchor="ctr">
                <a:spAutoFit/>
              </a:bodyPr>
              <a:lstStyle/>
              <a:p>
                <a:pPr>
                  <a:defRPr sz="14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'Ex 4 Purchase Gas'!$A$12:$A$14</c:f>
              <c:numCache>
                <c:formatCode>mmm\-yy</c:formatCode>
                <c:ptCount val="3"/>
                <c:pt idx="0">
                  <c:v>42705</c:v>
                </c:pt>
                <c:pt idx="1">
                  <c:v>42736</c:v>
                </c:pt>
                <c:pt idx="2">
                  <c:v>42767</c:v>
                </c:pt>
              </c:numCache>
            </c:numRef>
          </c:cat>
          <c:val>
            <c:numRef>
              <c:f>'Ex 4 Purchase Gas'!$C$12:$C$14</c:f>
              <c:numCache>
                <c:formatCode>#,##0</c:formatCode>
                <c:ptCount val="3"/>
                <c:pt idx="0">
                  <c:v>7501.8310000000001</c:v>
                </c:pt>
                <c:pt idx="1">
                  <c:v>9909.7489999999998</c:v>
                </c:pt>
                <c:pt idx="2">
                  <c:v>8494.375</c:v>
                </c:pt>
              </c:numCache>
            </c:numRef>
          </c:val>
        </c:ser>
        <c:dLbls>
          <c:showLegendKey val="0"/>
          <c:showVal val="0"/>
          <c:showCatName val="0"/>
          <c:showSerName val="0"/>
          <c:showPercent val="0"/>
          <c:showBubbleSize val="0"/>
        </c:dLbls>
        <c:gapWidth val="150"/>
        <c:axId val="213328608"/>
        <c:axId val="214001432"/>
      </c:barChart>
      <c:dateAx>
        <c:axId val="213328608"/>
        <c:scaling>
          <c:orientation val="minMax"/>
        </c:scaling>
        <c:delete val="0"/>
        <c:axPos val="b"/>
        <c:numFmt formatCode="mmm\-yy" sourceLinked="0"/>
        <c:majorTickMark val="out"/>
        <c:minorTickMark val="none"/>
        <c:tickLblPos val="nextTo"/>
        <c:txPr>
          <a:bodyPr/>
          <a:lstStyle/>
          <a:p>
            <a:pPr>
              <a:defRPr sz="1400"/>
            </a:pPr>
            <a:endParaRPr lang="en-US"/>
          </a:p>
        </c:txPr>
        <c:crossAx val="214001432"/>
        <c:crosses val="autoZero"/>
        <c:auto val="1"/>
        <c:lblOffset val="100"/>
        <c:baseTimeUnit val="months"/>
      </c:dateAx>
      <c:valAx>
        <c:axId val="214001432"/>
        <c:scaling>
          <c:orientation val="minMax"/>
          <c:max val="14000"/>
          <c:min val="0"/>
        </c:scaling>
        <c:delete val="0"/>
        <c:axPos val="l"/>
        <c:majorGridlines/>
        <c:title>
          <c:tx>
            <c:rich>
              <a:bodyPr rot="-5400000" vert="horz"/>
              <a:lstStyle/>
              <a:p>
                <a:pPr>
                  <a:defRPr sz="1400"/>
                </a:pPr>
                <a:r>
                  <a:rPr lang="en-US" sz="1400"/>
                  <a:t>Mdth</a:t>
                </a:r>
              </a:p>
            </c:rich>
          </c:tx>
          <c:layout>
            <c:manualLayout>
              <c:xMode val="edge"/>
              <c:yMode val="edge"/>
              <c:x val="1.5247555022164981E-2"/>
              <c:y val="0.38536391646696327"/>
            </c:manualLayout>
          </c:layout>
          <c:overlay val="0"/>
        </c:title>
        <c:numFmt formatCode="#,##0" sourceLinked="1"/>
        <c:majorTickMark val="out"/>
        <c:minorTickMark val="none"/>
        <c:tickLblPos val="nextTo"/>
        <c:txPr>
          <a:bodyPr/>
          <a:lstStyle/>
          <a:p>
            <a:pPr>
              <a:defRPr sz="1400"/>
            </a:pPr>
            <a:endParaRPr lang="en-US"/>
          </a:p>
        </c:txPr>
        <c:crossAx val="213328608"/>
        <c:crosses val="autoZero"/>
        <c:crossBetween val="between"/>
        <c:majorUnit val="2000"/>
      </c:valAx>
      <c:spPr>
        <a:noFill/>
      </c:spPr>
    </c:plotArea>
    <c:legend>
      <c:legendPos val="r"/>
      <c:legendEntry>
        <c:idx val="0"/>
        <c:txPr>
          <a:bodyPr/>
          <a:lstStyle/>
          <a:p>
            <a:pPr>
              <a:defRPr sz="1400"/>
            </a:pPr>
            <a:endParaRPr lang="en-US"/>
          </a:p>
        </c:txPr>
      </c:legendEntry>
      <c:layout>
        <c:manualLayout>
          <c:xMode val="edge"/>
          <c:yMode val="edge"/>
          <c:x val="0.60221422136359348"/>
          <c:y val="0.61847434288105296"/>
          <c:w val="0.17564018252365293"/>
          <c:h val="0.18326174445585602"/>
        </c:manualLayout>
      </c:layout>
      <c:overlay val="1"/>
      <c:spPr>
        <a:solidFill>
          <a:sysClr val="window" lastClr="FFFFFF"/>
        </a:solidFill>
        <a:ln>
          <a:solidFill>
            <a:sysClr val="windowText" lastClr="000000"/>
          </a:solidFill>
        </a:ln>
        <a:effectLst>
          <a:outerShdw blurRad="50800" dist="50800" dir="5400000" algn="ctr" rotWithShape="0">
            <a:srgbClr val="000000"/>
          </a:outerShdw>
        </a:effectLst>
      </c:spPr>
      <c:txPr>
        <a:bodyPr/>
        <a:lstStyle/>
        <a:p>
          <a:pPr>
            <a:defRPr sz="1400"/>
          </a:pPr>
          <a:endParaRPr lang="en-US"/>
        </a:p>
      </c:txPr>
    </c:legend>
    <c:plotVisOnly val="1"/>
    <c:dispBlanksAs val="gap"/>
    <c:showDLblsOverMax val="0"/>
  </c:chart>
  <c:spPr>
    <a:ln>
      <a:noFill/>
    </a:ln>
  </c:spPr>
  <c:printSettings>
    <c:headerFooter/>
    <c:pageMargins b="0.75000000000001432" l="0.70000000000000095" r="0.70000000000000095" t="0.75000000000001432" header="0.30000000000000032" footer="0.30000000000000032"/>
    <c:pageSetup orientation="landscape"/>
  </c:printSettings>
  <c:userShapes r:id="rId2"/>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2930700141883014"/>
          <c:y val="0.10901865838198822"/>
          <c:w val="0.86525058899472762"/>
          <c:h val="0.77006076295257664"/>
        </c:manualLayout>
      </c:layout>
      <c:barChart>
        <c:barDir val="col"/>
        <c:grouping val="clustered"/>
        <c:varyColors val="0"/>
        <c:ser>
          <c:idx val="0"/>
          <c:order val="0"/>
          <c:tx>
            <c:strRef>
              <c:f>'Ex 4 Purchase Gas'!$B$5</c:f>
              <c:strCache>
                <c:ptCount val="1"/>
                <c:pt idx="0">
                  <c:v>Actual</c:v>
                </c:pt>
              </c:strCache>
            </c:strRef>
          </c:tx>
          <c:spPr>
            <a:solidFill>
              <a:schemeClr val="bg1"/>
            </a:solidFill>
            <a:ln>
              <a:solidFill>
                <a:schemeClr val="tx1"/>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'Ex 4 Purchase Gas'!$A$6:$A$14</c:f>
              <c:numCache>
                <c:formatCode>mmm\-yy</c:formatCode>
                <c:ptCount val="9"/>
                <c:pt idx="0">
                  <c:v>42522</c:v>
                </c:pt>
                <c:pt idx="1">
                  <c:v>42552</c:v>
                </c:pt>
                <c:pt idx="2">
                  <c:v>42583</c:v>
                </c:pt>
                <c:pt idx="3">
                  <c:v>42614</c:v>
                </c:pt>
                <c:pt idx="4">
                  <c:v>42644</c:v>
                </c:pt>
                <c:pt idx="5">
                  <c:v>42675</c:v>
                </c:pt>
                <c:pt idx="6">
                  <c:v>42705</c:v>
                </c:pt>
                <c:pt idx="7">
                  <c:v>42736</c:v>
                </c:pt>
                <c:pt idx="8">
                  <c:v>42767</c:v>
                </c:pt>
              </c:numCache>
            </c:numRef>
          </c:cat>
          <c:val>
            <c:numRef>
              <c:f>'Ex 4 Purchase Gas'!$B$6:$B$14</c:f>
              <c:numCache>
                <c:formatCode>#,##0</c:formatCode>
                <c:ptCount val="9"/>
                <c:pt idx="0">
                  <c:v>0.748</c:v>
                </c:pt>
                <c:pt idx="1">
                  <c:v>1.4239999999999999</c:v>
                </c:pt>
                <c:pt idx="2">
                  <c:v>0.13200000000000001</c:v>
                </c:pt>
                <c:pt idx="3">
                  <c:v>730</c:v>
                </c:pt>
                <c:pt idx="4">
                  <c:v>760</c:v>
                </c:pt>
                <c:pt idx="5">
                  <c:v>5190.8999999999996</c:v>
                </c:pt>
                <c:pt idx="6">
                  <c:v>10338.923000000001</c:v>
                </c:pt>
                <c:pt idx="7">
                  <c:v>13559.912</c:v>
                </c:pt>
                <c:pt idx="8">
                  <c:v>6978.71</c:v>
                </c:pt>
              </c:numCache>
            </c:numRef>
          </c:val>
        </c:ser>
        <c:ser>
          <c:idx val="1"/>
          <c:order val="1"/>
          <c:tx>
            <c:strRef>
              <c:f>'Ex 4 Purchase Gas'!$C$5</c:f>
              <c:strCache>
                <c:ptCount val="1"/>
                <c:pt idx="0">
                  <c:v>IRP Forecast (Normal)</c:v>
                </c:pt>
              </c:strCache>
            </c:strRef>
          </c:tx>
          <c:spPr>
            <a:ln>
              <a:solidFill>
                <a:sysClr val="windowText" lastClr="00000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'Ex 4 Purchase Gas'!$A$6:$A$14</c:f>
              <c:numCache>
                <c:formatCode>mmm\-yy</c:formatCode>
                <c:ptCount val="9"/>
                <c:pt idx="0">
                  <c:v>42522</c:v>
                </c:pt>
                <c:pt idx="1">
                  <c:v>42552</c:v>
                </c:pt>
                <c:pt idx="2">
                  <c:v>42583</c:v>
                </c:pt>
                <c:pt idx="3">
                  <c:v>42614</c:v>
                </c:pt>
                <c:pt idx="4">
                  <c:v>42644</c:v>
                </c:pt>
                <c:pt idx="5">
                  <c:v>42675</c:v>
                </c:pt>
                <c:pt idx="6">
                  <c:v>42705</c:v>
                </c:pt>
                <c:pt idx="7">
                  <c:v>42736</c:v>
                </c:pt>
                <c:pt idx="8">
                  <c:v>42767</c:v>
                </c:pt>
              </c:numCache>
            </c:numRef>
          </c:cat>
          <c:val>
            <c:numRef>
              <c:f>'Ex 4 Purchase Gas'!$C$6:$C$14</c:f>
              <c:numCache>
                <c:formatCode>#,##0</c:formatCode>
                <c:ptCount val="9"/>
                <c:pt idx="0">
                  <c:v>830.27599999999995</c:v>
                </c:pt>
                <c:pt idx="1">
                  <c:v>162.72399999999999</c:v>
                </c:pt>
                <c:pt idx="2">
                  <c:v>120.631</c:v>
                </c:pt>
                <c:pt idx="3">
                  <c:v>521.31700000000001</c:v>
                </c:pt>
                <c:pt idx="4">
                  <c:v>3811.721</c:v>
                </c:pt>
                <c:pt idx="5">
                  <c:v>7397.0569999999998</c:v>
                </c:pt>
                <c:pt idx="6">
                  <c:v>7501.8310000000001</c:v>
                </c:pt>
                <c:pt idx="7">
                  <c:v>9909.7489999999998</c:v>
                </c:pt>
                <c:pt idx="8">
                  <c:v>8494.375</c:v>
                </c:pt>
              </c:numCache>
            </c:numRef>
          </c:val>
        </c:ser>
        <c:dLbls>
          <c:showLegendKey val="0"/>
          <c:showVal val="0"/>
          <c:showCatName val="0"/>
          <c:showSerName val="0"/>
          <c:showPercent val="0"/>
          <c:showBubbleSize val="0"/>
        </c:dLbls>
        <c:gapWidth val="150"/>
        <c:axId val="214002216"/>
        <c:axId val="214002608"/>
      </c:barChart>
      <c:dateAx>
        <c:axId val="214002216"/>
        <c:scaling>
          <c:orientation val="minMax"/>
        </c:scaling>
        <c:delete val="0"/>
        <c:axPos val="b"/>
        <c:numFmt formatCode="mmm\-yy" sourceLinked="0"/>
        <c:majorTickMark val="out"/>
        <c:minorTickMark val="none"/>
        <c:tickLblPos val="nextTo"/>
        <c:txPr>
          <a:bodyPr/>
          <a:lstStyle/>
          <a:p>
            <a:pPr>
              <a:defRPr sz="1400"/>
            </a:pPr>
            <a:endParaRPr lang="en-US"/>
          </a:p>
        </c:txPr>
        <c:crossAx val="214002608"/>
        <c:crosses val="autoZero"/>
        <c:auto val="1"/>
        <c:lblOffset val="100"/>
        <c:baseTimeUnit val="months"/>
      </c:dateAx>
      <c:valAx>
        <c:axId val="214002608"/>
        <c:scaling>
          <c:orientation val="minMax"/>
          <c:max val="14000"/>
        </c:scaling>
        <c:delete val="0"/>
        <c:axPos val="l"/>
        <c:majorGridlines/>
        <c:title>
          <c:tx>
            <c:rich>
              <a:bodyPr rot="-5400000" vert="horz"/>
              <a:lstStyle/>
              <a:p>
                <a:pPr>
                  <a:defRPr sz="1400"/>
                </a:pPr>
                <a:r>
                  <a:rPr lang="en-US" sz="1400"/>
                  <a:t>Mdth</a:t>
                </a:r>
              </a:p>
            </c:rich>
          </c:tx>
          <c:overlay val="0"/>
        </c:title>
        <c:numFmt formatCode="#,##0" sourceLinked="1"/>
        <c:majorTickMark val="out"/>
        <c:minorTickMark val="none"/>
        <c:tickLblPos val="nextTo"/>
        <c:txPr>
          <a:bodyPr/>
          <a:lstStyle/>
          <a:p>
            <a:pPr>
              <a:defRPr sz="1400"/>
            </a:pPr>
            <a:endParaRPr lang="en-US"/>
          </a:p>
        </c:txPr>
        <c:crossAx val="214002216"/>
        <c:crosses val="autoZero"/>
        <c:crossBetween val="between"/>
      </c:valAx>
    </c:plotArea>
    <c:legend>
      <c:legendPos val="r"/>
      <c:layout>
        <c:manualLayout>
          <c:xMode val="edge"/>
          <c:yMode val="edge"/>
          <c:x val="0.24747189372863979"/>
          <c:y val="0.31600221421389757"/>
          <c:w val="0.16277343609202405"/>
          <c:h val="0.13933611239771498"/>
        </c:manualLayout>
      </c:layout>
      <c:overlay val="0"/>
      <c:spPr>
        <a:solidFill>
          <a:sysClr val="window" lastClr="FFFFFF"/>
        </a:solidFill>
        <a:ln>
          <a:solidFill>
            <a:sysClr val="windowText" lastClr="000000"/>
          </a:solidFill>
        </a:ln>
        <a:effectLst>
          <a:outerShdw blurRad="50800" dist="50800" dir="5400000" algn="ctr" rotWithShape="0">
            <a:srgbClr val="000000"/>
          </a:outerShdw>
        </a:effectLst>
      </c:spPr>
      <c:txPr>
        <a:bodyPr/>
        <a:lstStyle/>
        <a:p>
          <a:pPr>
            <a:defRPr sz="1400"/>
          </a:pPr>
          <a:endParaRPr lang="en-US"/>
        </a:p>
      </c:txPr>
    </c:legend>
    <c:plotVisOnly val="1"/>
    <c:dispBlanksAs val="gap"/>
    <c:showDLblsOverMax val="0"/>
  </c:chart>
  <c:spPr>
    <a:ln>
      <a:noFill/>
    </a:ln>
  </c:spPr>
  <c:printSettings>
    <c:headerFooter/>
    <c:pageMargins b="0.75000000000001354" l="0.70000000000000062" r="0.70000000000000062" t="0.75000000000001354" header="0.30000000000000032" footer="0.30000000000000032"/>
    <c:pageSetup orientation="landscape"/>
  </c:printSettings>
  <c:userShapes r:id="rId2"/>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2335547442044606"/>
          <c:y val="0.11446086362492335"/>
          <c:w val="0.85954999340166283"/>
          <c:h val="0.77006076295257664"/>
        </c:manualLayout>
      </c:layout>
      <c:barChart>
        <c:barDir val="col"/>
        <c:grouping val="clustered"/>
        <c:varyColors val="0"/>
        <c:ser>
          <c:idx val="0"/>
          <c:order val="0"/>
          <c:tx>
            <c:strRef>
              <c:f>'Ex 4 Purchase Gas'!$F$5</c:f>
              <c:strCache>
                <c:ptCount val="1"/>
                <c:pt idx="0">
                  <c:v>Actual</c:v>
                </c:pt>
              </c:strCache>
            </c:strRef>
          </c:tx>
          <c:spPr>
            <a:solidFill>
              <a:schemeClr val="bg1"/>
            </a:solidFill>
            <a:ln>
              <a:solidFill>
                <a:schemeClr val="tx1"/>
              </a:solidFill>
            </a:ln>
          </c:spPr>
          <c:invertIfNegative val="0"/>
          <c:dLbls>
            <c:dLbl>
              <c:idx val="7"/>
              <c:layout>
                <c:manualLayout>
                  <c:x val="-1.4888337468982752E-2"/>
                  <c:y val="3.353108650671932E-17"/>
                </c:manualLayout>
              </c:layout>
              <c:showLegendKey val="0"/>
              <c:showVal val="1"/>
              <c:showCatName val="0"/>
              <c:showSerName val="0"/>
              <c:showPercent val="0"/>
              <c:showBubbleSize val="0"/>
              <c:extLst>
                <c:ext xmlns:c15="http://schemas.microsoft.com/office/drawing/2012/chart" uri="{CE6537A1-D6FC-4f65-9D91-7224C49458BB}"/>
              </c:extLst>
            </c:dLbl>
            <c:dLbl>
              <c:idx val="8"/>
              <c:layout>
                <c:manualLayout>
                  <c:x val="-1.488833746898263E-2"/>
                  <c:y val="5.486968449931396E-3"/>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'Ex 4 Purchase Gas'!$E$6:$E$14</c:f>
              <c:numCache>
                <c:formatCode>[$-409]mmm\-yy;@</c:formatCode>
                <c:ptCount val="9"/>
                <c:pt idx="0">
                  <c:v>42522</c:v>
                </c:pt>
                <c:pt idx="1">
                  <c:v>42552</c:v>
                </c:pt>
                <c:pt idx="2">
                  <c:v>42583</c:v>
                </c:pt>
                <c:pt idx="3">
                  <c:v>42614</c:v>
                </c:pt>
                <c:pt idx="4">
                  <c:v>42644</c:v>
                </c:pt>
                <c:pt idx="5">
                  <c:v>42675</c:v>
                </c:pt>
                <c:pt idx="6">
                  <c:v>42705</c:v>
                </c:pt>
                <c:pt idx="7">
                  <c:v>42736</c:v>
                </c:pt>
                <c:pt idx="8">
                  <c:v>42767</c:v>
                </c:pt>
              </c:numCache>
            </c:numRef>
          </c:cat>
          <c:val>
            <c:numRef>
              <c:f>'Ex 4 Purchase Gas'!$F$6:$F$14</c:f>
              <c:numCache>
                <c:formatCode>#,##0</c:formatCode>
                <c:ptCount val="9"/>
                <c:pt idx="0">
                  <c:v>0.748</c:v>
                </c:pt>
                <c:pt idx="1">
                  <c:v>2.1719999999999997</c:v>
                </c:pt>
                <c:pt idx="2">
                  <c:v>2.3039999999999998</c:v>
                </c:pt>
                <c:pt idx="3">
                  <c:v>732.30399999999997</c:v>
                </c:pt>
                <c:pt idx="4">
                  <c:v>1492.3040000000001</c:v>
                </c:pt>
                <c:pt idx="5">
                  <c:v>6683.2039999999997</c:v>
                </c:pt>
                <c:pt idx="6">
                  <c:v>17022.127</c:v>
                </c:pt>
                <c:pt idx="7">
                  <c:v>30582.039000000001</c:v>
                </c:pt>
                <c:pt idx="8">
                  <c:v>37560.749000000003</c:v>
                </c:pt>
              </c:numCache>
            </c:numRef>
          </c:val>
        </c:ser>
        <c:ser>
          <c:idx val="1"/>
          <c:order val="1"/>
          <c:tx>
            <c:strRef>
              <c:f>'Ex 4 Purchase Gas'!$G$5</c:f>
              <c:strCache>
                <c:ptCount val="1"/>
                <c:pt idx="0">
                  <c:v>IRP Forecast (Normal)</c:v>
                </c:pt>
              </c:strCache>
            </c:strRef>
          </c:tx>
          <c:spPr>
            <a:ln>
              <a:solidFill>
                <a:sysClr val="windowText" lastClr="000000"/>
              </a:solidFill>
            </a:ln>
          </c:spPr>
          <c:invertIfNegative val="0"/>
          <c:dLbls>
            <c:dLbl>
              <c:idx val="7"/>
              <c:layout>
                <c:manualLayout>
                  <c:x val="1.1579818031430813E-2"/>
                  <c:y val="1.8289894833104709E-3"/>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'Ex 4 Purchase Gas'!$E$6:$E$14</c:f>
              <c:numCache>
                <c:formatCode>[$-409]mmm\-yy;@</c:formatCode>
                <c:ptCount val="9"/>
                <c:pt idx="0">
                  <c:v>42522</c:v>
                </c:pt>
                <c:pt idx="1">
                  <c:v>42552</c:v>
                </c:pt>
                <c:pt idx="2">
                  <c:v>42583</c:v>
                </c:pt>
                <c:pt idx="3">
                  <c:v>42614</c:v>
                </c:pt>
                <c:pt idx="4">
                  <c:v>42644</c:v>
                </c:pt>
                <c:pt idx="5">
                  <c:v>42675</c:v>
                </c:pt>
                <c:pt idx="6">
                  <c:v>42705</c:v>
                </c:pt>
                <c:pt idx="7">
                  <c:v>42736</c:v>
                </c:pt>
                <c:pt idx="8">
                  <c:v>42767</c:v>
                </c:pt>
              </c:numCache>
            </c:numRef>
          </c:cat>
          <c:val>
            <c:numRef>
              <c:f>'Ex 4 Purchase Gas'!$G$6:$G$14</c:f>
              <c:numCache>
                <c:formatCode>#,##0</c:formatCode>
                <c:ptCount val="9"/>
                <c:pt idx="0">
                  <c:v>830.27599999999995</c:v>
                </c:pt>
                <c:pt idx="1">
                  <c:v>993</c:v>
                </c:pt>
                <c:pt idx="2">
                  <c:v>1113.6310000000001</c:v>
                </c:pt>
                <c:pt idx="3">
                  <c:v>1634.9480000000001</c:v>
                </c:pt>
                <c:pt idx="4">
                  <c:v>5446.6689999999999</c:v>
                </c:pt>
                <c:pt idx="5">
                  <c:v>12843.725999999999</c:v>
                </c:pt>
                <c:pt idx="6">
                  <c:v>20345.557000000001</c:v>
                </c:pt>
                <c:pt idx="7">
                  <c:v>30255.306</c:v>
                </c:pt>
                <c:pt idx="8">
                  <c:v>38749.680999999997</c:v>
                </c:pt>
              </c:numCache>
            </c:numRef>
          </c:val>
        </c:ser>
        <c:dLbls>
          <c:showLegendKey val="0"/>
          <c:showVal val="0"/>
          <c:showCatName val="0"/>
          <c:showSerName val="0"/>
          <c:showPercent val="0"/>
          <c:showBubbleSize val="0"/>
        </c:dLbls>
        <c:gapWidth val="150"/>
        <c:axId val="214003392"/>
        <c:axId val="214003784"/>
      </c:barChart>
      <c:dateAx>
        <c:axId val="214003392"/>
        <c:scaling>
          <c:orientation val="minMax"/>
        </c:scaling>
        <c:delete val="0"/>
        <c:axPos val="b"/>
        <c:numFmt formatCode="mmm\-yy" sourceLinked="0"/>
        <c:majorTickMark val="out"/>
        <c:minorTickMark val="none"/>
        <c:tickLblPos val="nextTo"/>
        <c:txPr>
          <a:bodyPr/>
          <a:lstStyle/>
          <a:p>
            <a:pPr>
              <a:defRPr sz="1400"/>
            </a:pPr>
            <a:endParaRPr lang="en-US"/>
          </a:p>
        </c:txPr>
        <c:crossAx val="214003784"/>
        <c:crosses val="autoZero"/>
        <c:auto val="1"/>
        <c:lblOffset val="100"/>
        <c:baseTimeUnit val="months"/>
      </c:dateAx>
      <c:valAx>
        <c:axId val="214003784"/>
        <c:scaling>
          <c:orientation val="minMax"/>
          <c:max val="40000"/>
          <c:min val="0"/>
        </c:scaling>
        <c:delete val="0"/>
        <c:axPos val="l"/>
        <c:majorGridlines/>
        <c:title>
          <c:tx>
            <c:rich>
              <a:bodyPr rot="-5400000" vert="horz"/>
              <a:lstStyle/>
              <a:p>
                <a:pPr>
                  <a:defRPr sz="1400"/>
                </a:pPr>
                <a:r>
                  <a:rPr lang="en-US" sz="1400"/>
                  <a:t>Mdth</a:t>
                </a:r>
              </a:p>
            </c:rich>
          </c:tx>
          <c:overlay val="0"/>
        </c:title>
        <c:numFmt formatCode="#,##0" sourceLinked="1"/>
        <c:majorTickMark val="out"/>
        <c:minorTickMark val="none"/>
        <c:tickLblPos val="nextTo"/>
        <c:txPr>
          <a:bodyPr/>
          <a:lstStyle/>
          <a:p>
            <a:pPr>
              <a:defRPr sz="1400"/>
            </a:pPr>
            <a:endParaRPr lang="en-US"/>
          </a:p>
        </c:txPr>
        <c:crossAx val="214003392"/>
        <c:crosses val="autoZero"/>
        <c:crossBetween val="between"/>
        <c:majorUnit val="8000"/>
      </c:valAx>
    </c:plotArea>
    <c:legend>
      <c:legendPos val="r"/>
      <c:layout>
        <c:manualLayout>
          <c:xMode val="edge"/>
          <c:yMode val="edge"/>
          <c:x val="0.36408185329191173"/>
          <c:y val="0.15481344667307534"/>
          <c:w val="0.16176367532222244"/>
          <c:h val="0.16065469182607323"/>
        </c:manualLayout>
      </c:layout>
      <c:overlay val="0"/>
      <c:spPr>
        <a:solidFill>
          <a:sysClr val="window" lastClr="FFFFFF"/>
        </a:solidFill>
        <a:ln>
          <a:solidFill>
            <a:sysClr val="windowText" lastClr="000000"/>
          </a:solidFill>
        </a:ln>
        <a:effectLst>
          <a:outerShdw blurRad="50800" dist="50800" dir="5400000" algn="ctr" rotWithShape="0">
            <a:srgbClr val="000000"/>
          </a:outerShdw>
        </a:effectLst>
      </c:spPr>
      <c:txPr>
        <a:bodyPr/>
        <a:lstStyle/>
        <a:p>
          <a:pPr>
            <a:defRPr sz="1400"/>
          </a:pPr>
          <a:endParaRPr lang="en-US"/>
        </a:p>
      </c:txPr>
    </c:legend>
    <c:plotVisOnly val="1"/>
    <c:dispBlanksAs val="gap"/>
    <c:showDLblsOverMax val="0"/>
  </c:chart>
  <c:spPr>
    <a:ln>
      <a:noFill/>
    </a:ln>
  </c:spPr>
  <c:printSettings>
    <c:headerFooter/>
    <c:pageMargins b="0.75000000000001354" l="0.70000000000000062" r="0.70000000000000062" t="0.75000000000001354" header="0.30000000000000032" footer="0.30000000000000032"/>
    <c:pageSetup orientation="landscape"/>
  </c:printSettings>
  <c:userShapes r:id="rId2"/>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186747515645835"/>
          <c:y val="0.11814613908479604"/>
          <c:w val="0.83722505020617788"/>
          <c:h val="0.78427598223862183"/>
        </c:manualLayout>
      </c:layout>
      <c:barChart>
        <c:barDir val="col"/>
        <c:grouping val="clustered"/>
        <c:varyColors val="0"/>
        <c:ser>
          <c:idx val="0"/>
          <c:order val="0"/>
          <c:tx>
            <c:strRef>
              <c:f>'Ex 5 Purchase Gas Cost'!$B$6</c:f>
              <c:strCache>
                <c:ptCount val="1"/>
                <c:pt idx="0">
                  <c:v>Actual</c:v>
                </c:pt>
              </c:strCache>
            </c:strRef>
          </c:tx>
          <c:spPr>
            <a:solidFill>
              <a:schemeClr val="bg1"/>
            </a:solidFill>
            <a:ln>
              <a:solidFill>
                <a:schemeClr val="tx1"/>
              </a:solidFill>
            </a:ln>
          </c:spPr>
          <c:invertIfNegative val="0"/>
          <c:dLbls>
            <c:dLbl>
              <c:idx val="0"/>
              <c:layout>
                <c:manualLayout>
                  <c:x val="-3.1667364199994461E-3"/>
                  <c:y val="-3.6990085115008496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1"/>
              <c:layout>
                <c:manualLayout>
                  <c:x val="-3.2965100623237919E-3"/>
                  <c:y val="7.6056182222842394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2"/>
              <c:layout>
                <c:manualLayout>
                  <c:x val="-4.9947279457805719E-3"/>
                  <c:y val="-2.0024470249932567E-2"/>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4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'Ex 5 Purchase Gas Cost'!$A$13:$A$15</c:f>
              <c:numCache>
                <c:formatCode>mmm\-yy</c:formatCode>
                <c:ptCount val="3"/>
                <c:pt idx="0">
                  <c:v>42705</c:v>
                </c:pt>
                <c:pt idx="1">
                  <c:v>42736</c:v>
                </c:pt>
                <c:pt idx="2">
                  <c:v>42767</c:v>
                </c:pt>
              </c:numCache>
            </c:numRef>
          </c:cat>
          <c:val>
            <c:numRef>
              <c:f>'Ex 5 Purchase Gas Cost'!$B$13:$B$15</c:f>
              <c:numCache>
                <c:formatCode>"$"#,##0</c:formatCode>
                <c:ptCount val="3"/>
                <c:pt idx="0">
                  <c:v>35640.103750000002</c:v>
                </c:pt>
                <c:pt idx="1">
                  <c:v>45914.59332</c:v>
                </c:pt>
                <c:pt idx="2">
                  <c:v>19483.68447</c:v>
                </c:pt>
              </c:numCache>
            </c:numRef>
          </c:val>
        </c:ser>
        <c:ser>
          <c:idx val="1"/>
          <c:order val="1"/>
          <c:tx>
            <c:strRef>
              <c:f>'Ex 5 Purchase Gas Cost'!$C$6</c:f>
              <c:strCache>
                <c:ptCount val="1"/>
                <c:pt idx="0">
                  <c:v>IRP Forecast (Normal)</c:v>
                </c:pt>
              </c:strCache>
            </c:strRef>
          </c:tx>
          <c:spPr>
            <a:ln>
              <a:solidFill>
                <a:sysClr val="windowText" lastClr="000000"/>
              </a:solidFill>
            </a:ln>
          </c:spPr>
          <c:invertIfNegative val="0"/>
          <c:dLbls>
            <c:dLbl>
              <c:idx val="0"/>
              <c:layout>
                <c:manualLayout>
                  <c:x val="1.6481252575195715E-3"/>
                  <c:y val="-3.766478901267687E-3"/>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3.296250515039143E-3"/>
                  <c:y val="-7.5329578025353739E-3"/>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wrap="square" lIns="38100" tIns="19050" rIns="38100" bIns="19050" anchor="ctr">
                <a:spAutoFit/>
              </a:bodyPr>
              <a:lstStyle/>
              <a:p>
                <a:pPr>
                  <a:defRPr sz="14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'Ex 5 Purchase Gas Cost'!$A$13:$A$15</c:f>
              <c:numCache>
                <c:formatCode>mmm\-yy</c:formatCode>
                <c:ptCount val="3"/>
                <c:pt idx="0">
                  <c:v>42705</c:v>
                </c:pt>
                <c:pt idx="1">
                  <c:v>42736</c:v>
                </c:pt>
                <c:pt idx="2">
                  <c:v>42767</c:v>
                </c:pt>
              </c:numCache>
            </c:numRef>
          </c:cat>
          <c:val>
            <c:numRef>
              <c:f>'Ex 5 Purchase Gas Cost'!$C$13:$C$15</c:f>
              <c:numCache>
                <c:formatCode>"$"#,##0</c:formatCode>
                <c:ptCount val="3"/>
                <c:pt idx="0">
                  <c:v>21219.870000000003</c:v>
                </c:pt>
                <c:pt idx="1">
                  <c:v>28297.5</c:v>
                </c:pt>
                <c:pt idx="2">
                  <c:v>23543.130000000008</c:v>
                </c:pt>
              </c:numCache>
            </c:numRef>
          </c:val>
        </c:ser>
        <c:dLbls>
          <c:showLegendKey val="0"/>
          <c:showVal val="0"/>
          <c:showCatName val="0"/>
          <c:showSerName val="0"/>
          <c:showPercent val="0"/>
          <c:showBubbleSize val="0"/>
        </c:dLbls>
        <c:gapWidth val="150"/>
        <c:axId val="214004568"/>
        <c:axId val="214004960"/>
      </c:barChart>
      <c:dateAx>
        <c:axId val="214004568"/>
        <c:scaling>
          <c:orientation val="minMax"/>
        </c:scaling>
        <c:delete val="0"/>
        <c:axPos val="b"/>
        <c:numFmt formatCode="mmm\-yy" sourceLinked="0"/>
        <c:majorTickMark val="out"/>
        <c:minorTickMark val="none"/>
        <c:tickLblPos val="nextTo"/>
        <c:txPr>
          <a:bodyPr/>
          <a:lstStyle/>
          <a:p>
            <a:pPr>
              <a:defRPr sz="1400"/>
            </a:pPr>
            <a:endParaRPr lang="en-US"/>
          </a:p>
        </c:txPr>
        <c:crossAx val="214004960"/>
        <c:crosses val="autoZero"/>
        <c:auto val="1"/>
        <c:lblOffset val="100"/>
        <c:baseTimeUnit val="months"/>
      </c:dateAx>
      <c:valAx>
        <c:axId val="214004960"/>
        <c:scaling>
          <c:orientation val="minMax"/>
          <c:min val="0"/>
        </c:scaling>
        <c:delete val="0"/>
        <c:axPos val="l"/>
        <c:majorGridlines/>
        <c:title>
          <c:tx>
            <c:rich>
              <a:bodyPr rot="-5400000" vert="horz"/>
              <a:lstStyle/>
              <a:p>
                <a:pPr>
                  <a:defRPr sz="1400"/>
                </a:pPr>
                <a:r>
                  <a:rPr lang="en-US" sz="1400"/>
                  <a:t>Dollars  ($1,000)</a:t>
                </a:r>
              </a:p>
            </c:rich>
          </c:tx>
          <c:layout>
            <c:manualLayout>
              <c:xMode val="edge"/>
              <c:yMode val="edge"/>
              <c:x val="5.2584024342091492E-3"/>
              <c:y val="0.44061250258436935"/>
            </c:manualLayout>
          </c:layout>
          <c:overlay val="0"/>
        </c:title>
        <c:numFmt formatCode="&quot;$&quot;#,##0" sourceLinked="1"/>
        <c:majorTickMark val="out"/>
        <c:minorTickMark val="none"/>
        <c:tickLblPos val="nextTo"/>
        <c:txPr>
          <a:bodyPr/>
          <a:lstStyle/>
          <a:p>
            <a:pPr>
              <a:defRPr sz="1400"/>
            </a:pPr>
            <a:endParaRPr lang="en-US"/>
          </a:p>
        </c:txPr>
        <c:crossAx val="214004568"/>
        <c:crosses val="autoZero"/>
        <c:crossBetween val="between"/>
        <c:majorUnit val="8000"/>
      </c:valAx>
    </c:plotArea>
    <c:legend>
      <c:legendPos val="r"/>
      <c:legendEntry>
        <c:idx val="0"/>
        <c:txPr>
          <a:bodyPr/>
          <a:lstStyle/>
          <a:p>
            <a:pPr>
              <a:defRPr sz="1400"/>
            </a:pPr>
            <a:endParaRPr lang="en-US"/>
          </a:p>
        </c:txPr>
      </c:legendEntry>
      <c:layout>
        <c:manualLayout>
          <c:xMode val="edge"/>
          <c:yMode val="edge"/>
          <c:x val="0.76514163170889171"/>
          <c:y val="0.17024825692843051"/>
          <c:w val="0.13973818167661056"/>
          <c:h val="0.18613553184980525"/>
        </c:manualLayout>
      </c:layout>
      <c:overlay val="0"/>
      <c:spPr>
        <a:solidFill>
          <a:sysClr val="window" lastClr="FFFFFF"/>
        </a:solidFill>
        <a:ln>
          <a:solidFill>
            <a:sysClr val="windowText" lastClr="000000"/>
          </a:solidFill>
        </a:ln>
        <a:effectLst>
          <a:outerShdw blurRad="50800" dist="50800" dir="5400000" algn="ctr" rotWithShape="0">
            <a:srgbClr val="000000"/>
          </a:outerShdw>
        </a:effectLst>
      </c:spPr>
      <c:txPr>
        <a:bodyPr/>
        <a:lstStyle/>
        <a:p>
          <a:pPr>
            <a:defRPr sz="1400"/>
          </a:pPr>
          <a:endParaRPr lang="en-US"/>
        </a:p>
      </c:txPr>
    </c:legend>
    <c:plotVisOnly val="1"/>
    <c:dispBlanksAs val="gap"/>
    <c:showDLblsOverMax val="0"/>
  </c:chart>
  <c:spPr>
    <a:ln>
      <a:noFill/>
    </a:ln>
  </c:spPr>
  <c:printSettings>
    <c:headerFooter/>
    <c:pageMargins b="0.75000000000001388" l="0.70000000000000095" r="0.70000000000000095" t="0.75000000000001388" header="0.30000000000000032" footer="0.30000000000000032"/>
    <c:pageSetup orientation="landscape"/>
  </c:printSettings>
  <c:userShapes r:id="rId2"/>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332769610695215"/>
          <c:y val="0.11446079788549637"/>
          <c:w val="0.83896500006464714"/>
          <c:h val="0.77006076295257664"/>
        </c:manualLayout>
      </c:layout>
      <c:barChart>
        <c:barDir val="col"/>
        <c:grouping val="clustered"/>
        <c:varyColors val="0"/>
        <c:ser>
          <c:idx val="0"/>
          <c:order val="0"/>
          <c:tx>
            <c:strRef>
              <c:f>'Ex 5 Purchase Gas Cost'!$B$6</c:f>
              <c:strCache>
                <c:ptCount val="1"/>
                <c:pt idx="0">
                  <c:v>Actual</c:v>
                </c:pt>
              </c:strCache>
            </c:strRef>
          </c:tx>
          <c:spPr>
            <a:solidFill>
              <a:schemeClr val="bg1"/>
            </a:solidFill>
            <a:ln>
              <a:solidFill>
                <a:schemeClr val="tx1"/>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'Ex 5 Purchase Gas Cost'!$A$7:$A$15</c:f>
              <c:numCache>
                <c:formatCode>mmm\-yy</c:formatCode>
                <c:ptCount val="9"/>
                <c:pt idx="0">
                  <c:v>42522</c:v>
                </c:pt>
                <c:pt idx="1">
                  <c:v>42552</c:v>
                </c:pt>
                <c:pt idx="2">
                  <c:v>42583</c:v>
                </c:pt>
                <c:pt idx="3">
                  <c:v>42614</c:v>
                </c:pt>
                <c:pt idx="4">
                  <c:v>42644</c:v>
                </c:pt>
                <c:pt idx="5">
                  <c:v>42675</c:v>
                </c:pt>
                <c:pt idx="6">
                  <c:v>42705</c:v>
                </c:pt>
                <c:pt idx="7">
                  <c:v>42736</c:v>
                </c:pt>
                <c:pt idx="8">
                  <c:v>42767</c:v>
                </c:pt>
              </c:numCache>
            </c:numRef>
          </c:cat>
          <c:val>
            <c:numRef>
              <c:f>'Ex 5 Purchase Gas Cost'!$B$7:$B$15</c:f>
              <c:numCache>
                <c:formatCode>"$"#,##0</c:formatCode>
                <c:ptCount val="9"/>
                <c:pt idx="0">
                  <c:v>0.92527999999999999</c:v>
                </c:pt>
                <c:pt idx="1">
                  <c:v>2.81582</c:v>
                </c:pt>
                <c:pt idx="2">
                  <c:v>0.25968000000000002</c:v>
                </c:pt>
                <c:pt idx="3">
                  <c:v>2026.55</c:v>
                </c:pt>
                <c:pt idx="4">
                  <c:v>2032.875</c:v>
                </c:pt>
                <c:pt idx="5">
                  <c:v>13257.4895</c:v>
                </c:pt>
                <c:pt idx="6">
                  <c:v>35640.103750000002</c:v>
                </c:pt>
                <c:pt idx="7">
                  <c:v>45914.59332</c:v>
                </c:pt>
                <c:pt idx="8">
                  <c:v>19483.68447</c:v>
                </c:pt>
              </c:numCache>
            </c:numRef>
          </c:val>
        </c:ser>
        <c:ser>
          <c:idx val="1"/>
          <c:order val="1"/>
          <c:tx>
            <c:strRef>
              <c:f>'Ex 5 Purchase Gas Cost'!$C$6</c:f>
              <c:strCache>
                <c:ptCount val="1"/>
                <c:pt idx="0">
                  <c:v>IRP Forecast (Normal)</c:v>
                </c:pt>
              </c:strCache>
            </c:strRef>
          </c:tx>
          <c:spPr>
            <a:ln>
              <a:solidFill>
                <a:sysClr val="windowText" lastClr="000000"/>
              </a:solidFill>
            </a:ln>
          </c:spPr>
          <c:invertIfNegative val="0"/>
          <c:dLbls>
            <c:dLbl>
              <c:idx val="3"/>
              <c:layout>
                <c:manualLayout>
                  <c:x val="9.852216748768473E-3"/>
                  <c:y val="7.6738597520556381E-3"/>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'Ex 5 Purchase Gas Cost'!$A$7:$A$15</c:f>
              <c:numCache>
                <c:formatCode>mmm\-yy</c:formatCode>
                <c:ptCount val="9"/>
                <c:pt idx="0">
                  <c:v>42522</c:v>
                </c:pt>
                <c:pt idx="1">
                  <c:v>42552</c:v>
                </c:pt>
                <c:pt idx="2">
                  <c:v>42583</c:v>
                </c:pt>
                <c:pt idx="3">
                  <c:v>42614</c:v>
                </c:pt>
                <c:pt idx="4">
                  <c:v>42644</c:v>
                </c:pt>
                <c:pt idx="5">
                  <c:v>42675</c:v>
                </c:pt>
                <c:pt idx="6">
                  <c:v>42705</c:v>
                </c:pt>
                <c:pt idx="7">
                  <c:v>42736</c:v>
                </c:pt>
                <c:pt idx="8">
                  <c:v>42767</c:v>
                </c:pt>
              </c:numCache>
            </c:numRef>
          </c:cat>
          <c:val>
            <c:numRef>
              <c:f>'Ex 5 Purchase Gas Cost'!$C$7:$C$15</c:f>
              <c:numCache>
                <c:formatCode>"$"#,##0</c:formatCode>
                <c:ptCount val="9"/>
                <c:pt idx="0">
                  <c:v>1633.98</c:v>
                </c:pt>
                <c:pt idx="1">
                  <c:v>343.685</c:v>
                </c:pt>
                <c:pt idx="2">
                  <c:v>260.15899999999999</c:v>
                </c:pt>
                <c:pt idx="3">
                  <c:v>1095.414</c:v>
                </c:pt>
                <c:pt idx="4">
                  <c:v>8222.07</c:v>
                </c:pt>
                <c:pt idx="5">
                  <c:v>17732.29</c:v>
                </c:pt>
                <c:pt idx="6">
                  <c:v>21219.870000000003</c:v>
                </c:pt>
                <c:pt idx="7">
                  <c:v>28297.5</c:v>
                </c:pt>
                <c:pt idx="8">
                  <c:v>23543.130000000008</c:v>
                </c:pt>
              </c:numCache>
            </c:numRef>
          </c:val>
        </c:ser>
        <c:dLbls>
          <c:showLegendKey val="0"/>
          <c:showVal val="0"/>
          <c:showCatName val="0"/>
          <c:showSerName val="0"/>
          <c:showPercent val="0"/>
          <c:showBubbleSize val="0"/>
        </c:dLbls>
        <c:gapWidth val="150"/>
        <c:axId val="214005744"/>
        <c:axId val="214006136"/>
      </c:barChart>
      <c:dateAx>
        <c:axId val="214005744"/>
        <c:scaling>
          <c:orientation val="minMax"/>
        </c:scaling>
        <c:delete val="0"/>
        <c:axPos val="b"/>
        <c:numFmt formatCode="mmm\-yy" sourceLinked="0"/>
        <c:majorTickMark val="out"/>
        <c:minorTickMark val="none"/>
        <c:tickLblPos val="nextTo"/>
        <c:txPr>
          <a:bodyPr/>
          <a:lstStyle/>
          <a:p>
            <a:pPr>
              <a:defRPr sz="1400"/>
            </a:pPr>
            <a:endParaRPr lang="en-US"/>
          </a:p>
        </c:txPr>
        <c:crossAx val="214006136"/>
        <c:crosses val="autoZero"/>
        <c:auto val="1"/>
        <c:lblOffset val="100"/>
        <c:baseTimeUnit val="months"/>
      </c:dateAx>
      <c:valAx>
        <c:axId val="214006136"/>
        <c:scaling>
          <c:orientation val="minMax"/>
          <c:max val="48000"/>
          <c:min val="0"/>
        </c:scaling>
        <c:delete val="0"/>
        <c:axPos val="l"/>
        <c:majorGridlines/>
        <c:title>
          <c:tx>
            <c:rich>
              <a:bodyPr rot="-5400000" vert="horz"/>
              <a:lstStyle/>
              <a:p>
                <a:pPr>
                  <a:defRPr sz="1400"/>
                </a:pPr>
                <a:r>
                  <a:rPr lang="en-US" sz="1400"/>
                  <a:t>Dollars  (000)</a:t>
                </a:r>
              </a:p>
            </c:rich>
          </c:tx>
          <c:overlay val="0"/>
        </c:title>
        <c:numFmt formatCode="&quot;$&quot;#,##0" sourceLinked="1"/>
        <c:majorTickMark val="out"/>
        <c:minorTickMark val="none"/>
        <c:tickLblPos val="nextTo"/>
        <c:txPr>
          <a:bodyPr/>
          <a:lstStyle/>
          <a:p>
            <a:pPr>
              <a:defRPr sz="1400"/>
            </a:pPr>
            <a:endParaRPr lang="en-US"/>
          </a:p>
        </c:txPr>
        <c:crossAx val="214005744"/>
        <c:crosses val="autoZero"/>
        <c:crossBetween val="between"/>
        <c:majorUnit val="8000"/>
      </c:valAx>
    </c:plotArea>
    <c:legend>
      <c:legendPos val="r"/>
      <c:layout>
        <c:manualLayout>
          <c:xMode val="edge"/>
          <c:yMode val="edge"/>
          <c:x val="0.26740816880648544"/>
          <c:y val="0.25400641945559099"/>
          <c:w val="0.14907412435514522"/>
          <c:h val="0.13398166370487907"/>
        </c:manualLayout>
      </c:layout>
      <c:overlay val="0"/>
      <c:spPr>
        <a:solidFill>
          <a:sysClr val="window" lastClr="FFFFFF"/>
        </a:solidFill>
        <a:ln>
          <a:solidFill>
            <a:sysClr val="windowText" lastClr="000000"/>
          </a:solidFill>
        </a:ln>
        <a:effectLst>
          <a:outerShdw blurRad="50800" dist="50800" dir="5400000" algn="ctr" rotWithShape="0">
            <a:srgbClr val="000000"/>
          </a:outerShdw>
        </a:effectLst>
      </c:spPr>
      <c:txPr>
        <a:bodyPr/>
        <a:lstStyle/>
        <a:p>
          <a:pPr>
            <a:defRPr sz="1400"/>
          </a:pPr>
          <a:endParaRPr lang="en-US"/>
        </a:p>
      </c:txPr>
    </c:legend>
    <c:plotVisOnly val="1"/>
    <c:dispBlanksAs val="gap"/>
    <c:showDLblsOverMax val="0"/>
  </c:chart>
  <c:spPr>
    <a:ln>
      <a:noFill/>
    </a:ln>
  </c:spPr>
  <c:printSettings>
    <c:headerFooter/>
    <c:pageMargins b="0.75000000000001354" l="0.70000000000000062" r="0.70000000000000062" t="0.75000000000001354" header="0.30000000000000032" footer="0.30000000000000032"/>
    <c:pageSetup orientation="landscape"/>
  </c:printSettings>
  <c:userShapes r:id="rId2"/>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33870062538479"/>
          <c:y val="0.12417900543422035"/>
          <c:w val="0.84903535206247371"/>
          <c:h val="0.76034258789363207"/>
        </c:manualLayout>
      </c:layout>
      <c:barChart>
        <c:barDir val="col"/>
        <c:grouping val="clustered"/>
        <c:varyColors val="0"/>
        <c:ser>
          <c:idx val="0"/>
          <c:order val="0"/>
          <c:tx>
            <c:strRef>
              <c:f>'Ex 5 Purchase Gas Cost'!$E$6</c:f>
              <c:strCache>
                <c:ptCount val="1"/>
                <c:pt idx="0">
                  <c:v>Actual</c:v>
                </c:pt>
              </c:strCache>
            </c:strRef>
          </c:tx>
          <c:spPr>
            <a:solidFill>
              <a:schemeClr val="bg1"/>
            </a:solidFill>
            <a:ln>
              <a:solidFill>
                <a:schemeClr val="tx1"/>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'Ex 5 Purchase Gas Cost'!$A$7:$A$15</c:f>
              <c:numCache>
                <c:formatCode>mmm\-yy</c:formatCode>
                <c:ptCount val="9"/>
                <c:pt idx="0">
                  <c:v>42522</c:v>
                </c:pt>
                <c:pt idx="1">
                  <c:v>42552</c:v>
                </c:pt>
                <c:pt idx="2">
                  <c:v>42583</c:v>
                </c:pt>
                <c:pt idx="3">
                  <c:v>42614</c:v>
                </c:pt>
                <c:pt idx="4">
                  <c:v>42644</c:v>
                </c:pt>
                <c:pt idx="5">
                  <c:v>42675</c:v>
                </c:pt>
                <c:pt idx="6">
                  <c:v>42705</c:v>
                </c:pt>
                <c:pt idx="7">
                  <c:v>42736</c:v>
                </c:pt>
                <c:pt idx="8">
                  <c:v>42767</c:v>
                </c:pt>
              </c:numCache>
            </c:numRef>
          </c:cat>
          <c:val>
            <c:numRef>
              <c:f>'Ex 5 Purchase Gas Cost'!$E$7:$E$15</c:f>
              <c:numCache>
                <c:formatCode>#,##0</c:formatCode>
                <c:ptCount val="9"/>
                <c:pt idx="0">
                  <c:v>0.92527999999999999</c:v>
                </c:pt>
                <c:pt idx="1">
                  <c:v>3.7410999999999999</c:v>
                </c:pt>
                <c:pt idx="2">
                  <c:v>4.0007799999999998</c:v>
                </c:pt>
                <c:pt idx="3">
                  <c:v>2030.55078</c:v>
                </c:pt>
                <c:pt idx="4">
                  <c:v>4063.42578</c:v>
                </c:pt>
                <c:pt idx="5">
                  <c:v>17320.915280000001</c:v>
                </c:pt>
                <c:pt idx="6">
                  <c:v>52961.019030000003</c:v>
                </c:pt>
                <c:pt idx="7">
                  <c:v>98875.61235000001</c:v>
                </c:pt>
                <c:pt idx="8">
                  <c:v>118359.29682000002</c:v>
                </c:pt>
              </c:numCache>
            </c:numRef>
          </c:val>
        </c:ser>
        <c:ser>
          <c:idx val="1"/>
          <c:order val="1"/>
          <c:tx>
            <c:strRef>
              <c:f>'Ex 5 Purchase Gas Cost'!$F$6</c:f>
              <c:strCache>
                <c:ptCount val="1"/>
                <c:pt idx="0">
                  <c:v>IRP Forecast (Normal)</c:v>
                </c:pt>
              </c:strCache>
            </c:strRef>
          </c:tx>
          <c:spPr>
            <a:ln>
              <a:solidFill>
                <a:sysClr val="windowText" lastClr="000000"/>
              </a:solidFill>
            </a:ln>
          </c:spPr>
          <c:invertIfNegative val="0"/>
          <c:dLbls>
            <c:dLbl>
              <c:idx val="3"/>
              <c:layout>
                <c:manualLayout>
                  <c:x val="1.8106995884773661E-2"/>
                  <c:y val="0"/>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9.876543209876543E-3"/>
                  <c:y val="3.8872703832235718E-3"/>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'Ex 5 Purchase Gas Cost'!$A$7:$A$15</c:f>
              <c:numCache>
                <c:formatCode>mmm\-yy</c:formatCode>
                <c:ptCount val="9"/>
                <c:pt idx="0">
                  <c:v>42522</c:v>
                </c:pt>
                <c:pt idx="1">
                  <c:v>42552</c:v>
                </c:pt>
                <c:pt idx="2">
                  <c:v>42583</c:v>
                </c:pt>
                <c:pt idx="3">
                  <c:v>42614</c:v>
                </c:pt>
                <c:pt idx="4">
                  <c:v>42644</c:v>
                </c:pt>
                <c:pt idx="5">
                  <c:v>42675</c:v>
                </c:pt>
                <c:pt idx="6">
                  <c:v>42705</c:v>
                </c:pt>
                <c:pt idx="7">
                  <c:v>42736</c:v>
                </c:pt>
                <c:pt idx="8">
                  <c:v>42767</c:v>
                </c:pt>
              </c:numCache>
            </c:numRef>
          </c:cat>
          <c:val>
            <c:numRef>
              <c:f>'Ex 5 Purchase Gas Cost'!$F$7:$F$15</c:f>
              <c:numCache>
                <c:formatCode>#,##0</c:formatCode>
                <c:ptCount val="9"/>
                <c:pt idx="0">
                  <c:v>1633.98</c:v>
                </c:pt>
                <c:pt idx="1">
                  <c:v>1977.665</c:v>
                </c:pt>
                <c:pt idx="2">
                  <c:v>2237.8240000000001</c:v>
                </c:pt>
                <c:pt idx="3">
                  <c:v>3333.2380000000003</c:v>
                </c:pt>
                <c:pt idx="4">
                  <c:v>11555.308000000001</c:v>
                </c:pt>
                <c:pt idx="5">
                  <c:v>29287.598000000002</c:v>
                </c:pt>
                <c:pt idx="6">
                  <c:v>50507.468000000008</c:v>
                </c:pt>
                <c:pt idx="7">
                  <c:v>78804.968000000008</c:v>
                </c:pt>
                <c:pt idx="8">
                  <c:v>102348.09800000001</c:v>
                </c:pt>
              </c:numCache>
            </c:numRef>
          </c:val>
        </c:ser>
        <c:dLbls>
          <c:showLegendKey val="0"/>
          <c:showVal val="0"/>
          <c:showCatName val="0"/>
          <c:showSerName val="0"/>
          <c:showPercent val="0"/>
          <c:showBubbleSize val="0"/>
        </c:dLbls>
        <c:gapWidth val="150"/>
        <c:axId val="214006920"/>
        <c:axId val="214007312"/>
      </c:barChart>
      <c:dateAx>
        <c:axId val="214006920"/>
        <c:scaling>
          <c:orientation val="minMax"/>
        </c:scaling>
        <c:delete val="0"/>
        <c:axPos val="b"/>
        <c:numFmt formatCode="mmm\-yy" sourceLinked="0"/>
        <c:majorTickMark val="out"/>
        <c:minorTickMark val="none"/>
        <c:tickLblPos val="nextTo"/>
        <c:txPr>
          <a:bodyPr/>
          <a:lstStyle/>
          <a:p>
            <a:pPr>
              <a:defRPr sz="1400"/>
            </a:pPr>
            <a:endParaRPr lang="en-US"/>
          </a:p>
        </c:txPr>
        <c:crossAx val="214007312"/>
        <c:crosses val="autoZero"/>
        <c:auto val="1"/>
        <c:lblOffset val="100"/>
        <c:baseTimeUnit val="months"/>
      </c:dateAx>
      <c:valAx>
        <c:axId val="214007312"/>
        <c:scaling>
          <c:orientation val="minMax"/>
          <c:min val="0"/>
        </c:scaling>
        <c:delete val="0"/>
        <c:axPos val="l"/>
        <c:majorGridlines/>
        <c:title>
          <c:tx>
            <c:rich>
              <a:bodyPr rot="-5400000" vert="horz"/>
              <a:lstStyle/>
              <a:p>
                <a:pPr>
                  <a:defRPr sz="1400"/>
                </a:pPr>
                <a:r>
                  <a:rPr lang="en-US" sz="1400"/>
                  <a:t>Dollars  (000)</a:t>
                </a:r>
              </a:p>
            </c:rich>
          </c:tx>
          <c:overlay val="0"/>
        </c:title>
        <c:numFmt formatCode="#,##0" sourceLinked="1"/>
        <c:majorTickMark val="out"/>
        <c:minorTickMark val="none"/>
        <c:tickLblPos val="nextTo"/>
        <c:txPr>
          <a:bodyPr/>
          <a:lstStyle/>
          <a:p>
            <a:pPr>
              <a:defRPr sz="1400"/>
            </a:pPr>
            <a:endParaRPr lang="en-US"/>
          </a:p>
        </c:txPr>
        <c:crossAx val="214006920"/>
        <c:crosses val="autoZero"/>
        <c:crossBetween val="between"/>
      </c:valAx>
    </c:plotArea>
    <c:legend>
      <c:legendPos val="r"/>
      <c:layout>
        <c:manualLayout>
          <c:xMode val="edge"/>
          <c:yMode val="edge"/>
          <c:x val="0.38226356890573865"/>
          <c:y val="0.29393350135319857"/>
          <c:w val="0.23833109750170114"/>
          <c:h val="0.1396267730697254"/>
        </c:manualLayout>
      </c:layout>
      <c:overlay val="0"/>
      <c:spPr>
        <a:solidFill>
          <a:sysClr val="window" lastClr="FFFFFF"/>
        </a:solidFill>
        <a:ln>
          <a:solidFill>
            <a:sysClr val="windowText" lastClr="000000"/>
          </a:solidFill>
        </a:ln>
        <a:effectLst>
          <a:outerShdw blurRad="50800" dist="50800" dir="5400000" algn="ctr" rotWithShape="0">
            <a:srgbClr val="000000"/>
          </a:outerShdw>
        </a:effectLst>
      </c:spPr>
      <c:txPr>
        <a:bodyPr/>
        <a:lstStyle/>
        <a:p>
          <a:pPr>
            <a:defRPr sz="1400"/>
          </a:pPr>
          <a:endParaRPr lang="en-US"/>
        </a:p>
      </c:txPr>
    </c:legend>
    <c:plotVisOnly val="1"/>
    <c:dispBlanksAs val="gap"/>
    <c:showDLblsOverMax val="0"/>
  </c:chart>
  <c:spPr>
    <a:ln>
      <a:noFill/>
    </a:ln>
  </c:spPr>
  <c:printSettings>
    <c:headerFooter/>
    <c:pageMargins b="0.75000000000001354" l="0.70000000000000062" r="0.70000000000000062" t="0.75000000000001354" header="0.30000000000000032" footer="0.30000000000000032"/>
    <c:pageSetup orientation="landscape"/>
  </c:printSettings>
  <c:userShapes r:id="rId2"/>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276824926587146"/>
          <c:y val="0.10970648668916386"/>
          <c:w val="0.87800607508331163"/>
          <c:h val="0.78739167604049498"/>
        </c:manualLayout>
      </c:layout>
      <c:barChart>
        <c:barDir val="col"/>
        <c:grouping val="clustered"/>
        <c:varyColors val="0"/>
        <c:ser>
          <c:idx val="0"/>
          <c:order val="0"/>
          <c:tx>
            <c:strRef>
              <c:f>'Ex 6 Purch Gas Unit Cost'!$B$7</c:f>
              <c:strCache>
                <c:ptCount val="1"/>
                <c:pt idx="0">
                  <c:v>Actual $/Dth</c:v>
                </c:pt>
              </c:strCache>
            </c:strRef>
          </c:tx>
          <c:spPr>
            <a:solidFill>
              <a:schemeClr val="bg1"/>
            </a:solidFill>
            <a:ln>
              <a:solidFill>
                <a:schemeClr val="tx1"/>
              </a:solidFill>
            </a:ln>
          </c:spPr>
          <c:invertIfNegative val="0"/>
          <c:dLbls>
            <c:dLbl>
              <c:idx val="0"/>
              <c:layout>
                <c:manualLayout>
                  <c:x val="-3.0252675821037609E-17"/>
                  <c:y val="-8.1168353955755525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1"/>
              <c:layout>
                <c:manualLayout>
                  <c:x val="-3.4146721758790053E-4"/>
                  <c:y val="-9.1613048368953884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2"/>
              <c:layout>
                <c:manualLayout>
                  <c:x val="1.1590135391491905E-4"/>
                  <c:y val="4.1054368203974501E-3"/>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4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'Ex 6 Purch Gas Unit Cost'!$A$14:$A$16</c:f>
              <c:numCache>
                <c:formatCode>mmm\-yy</c:formatCode>
                <c:ptCount val="3"/>
                <c:pt idx="0">
                  <c:v>42705</c:v>
                </c:pt>
                <c:pt idx="1">
                  <c:v>42736</c:v>
                </c:pt>
                <c:pt idx="2">
                  <c:v>42767</c:v>
                </c:pt>
              </c:numCache>
            </c:numRef>
          </c:cat>
          <c:val>
            <c:numRef>
              <c:f>'Ex 6 Purch Gas Unit Cost'!$B$14:$B$16</c:f>
              <c:numCache>
                <c:formatCode>"$"#,##0.00</c:formatCode>
                <c:ptCount val="3"/>
                <c:pt idx="0">
                  <c:v>3.4471775977052928</c:v>
                </c:pt>
                <c:pt idx="1">
                  <c:v>3.3860539301434995</c:v>
                </c:pt>
                <c:pt idx="2">
                  <c:v>2.7918747834485171</c:v>
                </c:pt>
              </c:numCache>
            </c:numRef>
          </c:val>
        </c:ser>
        <c:ser>
          <c:idx val="1"/>
          <c:order val="1"/>
          <c:tx>
            <c:strRef>
              <c:f>'Ex 6 Purch Gas Unit Cost'!$C$7</c:f>
              <c:strCache>
                <c:ptCount val="1"/>
                <c:pt idx="0">
                  <c:v>Normal $/Dth</c:v>
                </c:pt>
              </c:strCache>
            </c:strRef>
          </c:tx>
          <c:spPr>
            <a:ln>
              <a:solidFill>
                <a:sysClr val="windowText" lastClr="000000"/>
              </a:solidFill>
            </a:ln>
          </c:spPr>
          <c:invertIfNegative val="0"/>
          <c:dLbls>
            <c:dLbl>
              <c:idx val="0"/>
              <c:layout>
                <c:manualLayout>
                  <c:x val="0"/>
                  <c:y val="9.5238095238095247E-3"/>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0"/>
                  <c:y val="9.5238095238095247E-3"/>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1.2101070328415043E-16"/>
                  <c:y val="5.7142857142856796E-3"/>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wrap="square" lIns="38100" tIns="19050" rIns="38100" bIns="19050" anchor="ctr">
                <a:spAutoFit/>
              </a:bodyPr>
              <a:lstStyle/>
              <a:p>
                <a:pPr>
                  <a:defRPr sz="14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'Ex 6 Purch Gas Unit Cost'!$A$14:$A$16</c:f>
              <c:numCache>
                <c:formatCode>mmm\-yy</c:formatCode>
                <c:ptCount val="3"/>
                <c:pt idx="0">
                  <c:v>42705</c:v>
                </c:pt>
                <c:pt idx="1">
                  <c:v>42736</c:v>
                </c:pt>
                <c:pt idx="2">
                  <c:v>42767</c:v>
                </c:pt>
              </c:numCache>
            </c:numRef>
          </c:cat>
          <c:val>
            <c:numRef>
              <c:f>'Ex 6 Purch Gas Unit Cost'!$C$14:$C$16</c:f>
              <c:numCache>
                <c:formatCode>"$"#,##0.00</c:formatCode>
                <c:ptCount val="3"/>
                <c:pt idx="0">
                  <c:v>2.8286254382430105</c:v>
                </c:pt>
                <c:pt idx="1">
                  <c:v>2.8555213658791962</c:v>
                </c:pt>
                <c:pt idx="2">
                  <c:v>2.7716141564270482</c:v>
                </c:pt>
              </c:numCache>
            </c:numRef>
          </c:val>
        </c:ser>
        <c:dLbls>
          <c:showLegendKey val="0"/>
          <c:showVal val="0"/>
          <c:showCatName val="0"/>
          <c:showSerName val="0"/>
          <c:showPercent val="0"/>
          <c:showBubbleSize val="0"/>
        </c:dLbls>
        <c:gapWidth val="150"/>
        <c:axId val="214008096"/>
        <c:axId val="214008488"/>
      </c:barChart>
      <c:dateAx>
        <c:axId val="214008096"/>
        <c:scaling>
          <c:orientation val="minMax"/>
        </c:scaling>
        <c:delete val="0"/>
        <c:axPos val="b"/>
        <c:numFmt formatCode="mmm\-yy" sourceLinked="0"/>
        <c:majorTickMark val="out"/>
        <c:minorTickMark val="none"/>
        <c:tickLblPos val="nextTo"/>
        <c:txPr>
          <a:bodyPr/>
          <a:lstStyle/>
          <a:p>
            <a:pPr>
              <a:defRPr sz="1400"/>
            </a:pPr>
            <a:endParaRPr lang="en-US"/>
          </a:p>
        </c:txPr>
        <c:crossAx val="214008488"/>
        <c:crosses val="autoZero"/>
        <c:auto val="1"/>
        <c:lblOffset val="100"/>
        <c:baseTimeUnit val="months"/>
      </c:dateAx>
      <c:valAx>
        <c:axId val="214008488"/>
        <c:scaling>
          <c:orientation val="minMax"/>
          <c:max val="4"/>
        </c:scaling>
        <c:delete val="0"/>
        <c:axPos val="l"/>
        <c:majorGridlines/>
        <c:title>
          <c:tx>
            <c:rich>
              <a:bodyPr rot="-5400000" vert="horz"/>
              <a:lstStyle/>
              <a:p>
                <a:pPr>
                  <a:defRPr sz="1400"/>
                </a:pPr>
                <a:r>
                  <a:rPr lang="en-US" sz="1400"/>
                  <a:t>Dollars per Dth</a:t>
                </a:r>
              </a:p>
            </c:rich>
          </c:tx>
          <c:layout>
            <c:manualLayout>
              <c:xMode val="edge"/>
              <c:yMode val="edge"/>
              <c:x val="4.262075936160154E-4"/>
              <c:y val="0.41451748763963642"/>
            </c:manualLayout>
          </c:layout>
          <c:overlay val="0"/>
        </c:title>
        <c:numFmt formatCode="&quot;$&quot;#,##0.00" sourceLinked="1"/>
        <c:majorTickMark val="out"/>
        <c:minorTickMark val="none"/>
        <c:tickLblPos val="nextTo"/>
        <c:txPr>
          <a:bodyPr/>
          <a:lstStyle/>
          <a:p>
            <a:pPr>
              <a:defRPr sz="1400"/>
            </a:pPr>
            <a:endParaRPr lang="en-US"/>
          </a:p>
        </c:txPr>
        <c:crossAx val="214008096"/>
        <c:crosses val="autoZero"/>
        <c:crossBetween val="between"/>
      </c:valAx>
    </c:plotArea>
    <c:legend>
      <c:legendPos val="r"/>
      <c:layout>
        <c:manualLayout>
          <c:xMode val="edge"/>
          <c:yMode val="edge"/>
          <c:x val="0.61190340687612066"/>
          <c:y val="0.68112485939257594"/>
          <c:w val="0.16520022868428574"/>
          <c:h val="8.7310386201724779E-2"/>
        </c:manualLayout>
      </c:layout>
      <c:overlay val="0"/>
      <c:spPr>
        <a:solidFill>
          <a:sysClr val="window" lastClr="FFFFFF"/>
        </a:solidFill>
        <a:ln>
          <a:solidFill>
            <a:sysClr val="windowText" lastClr="000000"/>
          </a:solidFill>
        </a:ln>
        <a:effectLst>
          <a:outerShdw blurRad="50800" dist="50800" dir="5400000" algn="ctr" rotWithShape="0">
            <a:srgbClr val="000000"/>
          </a:outerShdw>
        </a:effectLst>
      </c:spPr>
      <c:txPr>
        <a:bodyPr/>
        <a:lstStyle/>
        <a:p>
          <a:pPr>
            <a:defRPr sz="1400"/>
          </a:pPr>
          <a:endParaRPr lang="en-US"/>
        </a:p>
      </c:txPr>
    </c:legend>
    <c:plotVisOnly val="1"/>
    <c:dispBlanksAs val="gap"/>
    <c:showDLblsOverMax val="0"/>
  </c:chart>
  <c:spPr>
    <a:ln>
      <a:noFill/>
    </a:ln>
  </c:spPr>
  <c:printSettings>
    <c:headerFooter/>
    <c:pageMargins b="0.75000000000001421" l="0.70000000000000062" r="0.70000000000000062" t="0.75000000000001421" header="0.30000000000000032" footer="0.30000000000000032"/>
    <c:pageSetup orientation="landscape"/>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597351361070735"/>
          <c:y val="0.1070350805305455"/>
          <c:w val="0.8669318871929429"/>
          <c:h val="0.78131248361887251"/>
        </c:manualLayout>
      </c:layout>
      <c:barChart>
        <c:barDir val="col"/>
        <c:grouping val="clustered"/>
        <c:varyColors val="0"/>
        <c:ser>
          <c:idx val="0"/>
          <c:order val="0"/>
          <c:tx>
            <c:strRef>
              <c:f>'Ex 6 Purch Gas Unit Cost'!$B$7</c:f>
              <c:strCache>
                <c:ptCount val="1"/>
                <c:pt idx="0">
                  <c:v>Actual $/Dth</c:v>
                </c:pt>
              </c:strCache>
            </c:strRef>
          </c:tx>
          <c:spPr>
            <a:solidFill>
              <a:schemeClr val="bg1"/>
            </a:solidFill>
            <a:ln>
              <a:solidFill>
                <a:schemeClr val="tx1"/>
              </a:solidFill>
            </a:ln>
          </c:spPr>
          <c:invertIfNegative val="0"/>
          <c:dLbls>
            <c:dLbl>
              <c:idx val="8"/>
              <c:layout>
                <c:manualLayout>
                  <c:x val="-9.8522180226029536E-3"/>
                  <c:y val="3.4379974772712215E-17"/>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'Ex 6 Purch Gas Unit Cost'!$A$8:$A$16</c:f>
              <c:numCache>
                <c:formatCode>mmm\-yy</c:formatCode>
                <c:ptCount val="9"/>
                <c:pt idx="0">
                  <c:v>42522</c:v>
                </c:pt>
                <c:pt idx="1">
                  <c:v>42552</c:v>
                </c:pt>
                <c:pt idx="2">
                  <c:v>42583</c:v>
                </c:pt>
                <c:pt idx="3">
                  <c:v>42614</c:v>
                </c:pt>
                <c:pt idx="4">
                  <c:v>42644</c:v>
                </c:pt>
                <c:pt idx="5">
                  <c:v>42675</c:v>
                </c:pt>
                <c:pt idx="6">
                  <c:v>42705</c:v>
                </c:pt>
                <c:pt idx="7">
                  <c:v>42736</c:v>
                </c:pt>
                <c:pt idx="8">
                  <c:v>42767</c:v>
                </c:pt>
              </c:numCache>
            </c:numRef>
          </c:cat>
          <c:val>
            <c:numRef>
              <c:f>'Ex 6 Purch Gas Unit Cost'!$B$8:$B$16</c:f>
              <c:numCache>
                <c:formatCode>"$"#,##0.00</c:formatCode>
                <c:ptCount val="9"/>
                <c:pt idx="0">
                  <c:v>1.2370053475935829</c:v>
                </c:pt>
                <c:pt idx="1">
                  <c:v>1.9774016853932586</c:v>
                </c:pt>
                <c:pt idx="2">
                  <c:v>1.9672727272727273</c:v>
                </c:pt>
                <c:pt idx="3">
                  <c:v>2.7760958904109589</c:v>
                </c:pt>
                <c:pt idx="4">
                  <c:v>2.6748355263157895</c:v>
                </c:pt>
                <c:pt idx="5">
                  <c:v>2.5539866882428868</c:v>
                </c:pt>
                <c:pt idx="6">
                  <c:v>3.4471775977052928</c:v>
                </c:pt>
                <c:pt idx="7">
                  <c:v>3.3860539301434995</c:v>
                </c:pt>
                <c:pt idx="8">
                  <c:v>2.7918747834485171</c:v>
                </c:pt>
              </c:numCache>
            </c:numRef>
          </c:val>
        </c:ser>
        <c:ser>
          <c:idx val="1"/>
          <c:order val="1"/>
          <c:tx>
            <c:strRef>
              <c:f>'Ex 6 Purch Gas Unit Cost'!$C$7</c:f>
              <c:strCache>
                <c:ptCount val="1"/>
                <c:pt idx="0">
                  <c:v>Normal $/Dth</c:v>
                </c:pt>
              </c:strCache>
            </c:strRef>
          </c:tx>
          <c:spPr>
            <a:ln>
              <a:solidFill>
                <a:sysClr val="windowText" lastClr="00000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'Ex 6 Purch Gas Unit Cost'!$A$8:$A$16</c:f>
              <c:numCache>
                <c:formatCode>mmm\-yy</c:formatCode>
                <c:ptCount val="9"/>
                <c:pt idx="0">
                  <c:v>42522</c:v>
                </c:pt>
                <c:pt idx="1">
                  <c:v>42552</c:v>
                </c:pt>
                <c:pt idx="2">
                  <c:v>42583</c:v>
                </c:pt>
                <c:pt idx="3">
                  <c:v>42614</c:v>
                </c:pt>
                <c:pt idx="4">
                  <c:v>42644</c:v>
                </c:pt>
                <c:pt idx="5">
                  <c:v>42675</c:v>
                </c:pt>
                <c:pt idx="6">
                  <c:v>42705</c:v>
                </c:pt>
                <c:pt idx="7">
                  <c:v>42736</c:v>
                </c:pt>
                <c:pt idx="8">
                  <c:v>42767</c:v>
                </c:pt>
              </c:numCache>
            </c:numRef>
          </c:cat>
          <c:val>
            <c:numRef>
              <c:f>'Ex 6 Purch Gas Unit Cost'!$C$8:$C$16</c:f>
              <c:numCache>
                <c:formatCode>"$"#,##0.00</c:formatCode>
                <c:ptCount val="9"/>
                <c:pt idx="0">
                  <c:v>1.9679961844013318</c:v>
                </c:pt>
                <c:pt idx="1">
                  <c:v>2.1120732037068906</c:v>
                </c:pt>
                <c:pt idx="2">
                  <c:v>2.156651275376976</c:v>
                </c:pt>
                <c:pt idx="3">
                  <c:v>2.1012435811607908</c:v>
                </c:pt>
                <c:pt idx="4">
                  <c:v>2.1570492698704862</c:v>
                </c:pt>
                <c:pt idx="5">
                  <c:v>2.397208781816877</c:v>
                </c:pt>
                <c:pt idx="6">
                  <c:v>2.8286254382430105</c:v>
                </c:pt>
                <c:pt idx="7">
                  <c:v>2.8555213658791962</c:v>
                </c:pt>
                <c:pt idx="8">
                  <c:v>2.7716141564270482</c:v>
                </c:pt>
              </c:numCache>
            </c:numRef>
          </c:val>
        </c:ser>
        <c:dLbls>
          <c:showLegendKey val="0"/>
          <c:showVal val="0"/>
          <c:showCatName val="0"/>
          <c:showSerName val="0"/>
          <c:showPercent val="0"/>
          <c:showBubbleSize val="0"/>
        </c:dLbls>
        <c:gapWidth val="150"/>
        <c:axId val="215802984"/>
        <c:axId val="215803376"/>
      </c:barChart>
      <c:dateAx>
        <c:axId val="215802984"/>
        <c:scaling>
          <c:orientation val="minMax"/>
        </c:scaling>
        <c:delete val="0"/>
        <c:axPos val="b"/>
        <c:numFmt formatCode="mmm\-yy" sourceLinked="0"/>
        <c:majorTickMark val="out"/>
        <c:minorTickMark val="none"/>
        <c:tickLblPos val="nextTo"/>
        <c:txPr>
          <a:bodyPr/>
          <a:lstStyle/>
          <a:p>
            <a:pPr>
              <a:defRPr sz="1400"/>
            </a:pPr>
            <a:endParaRPr lang="en-US"/>
          </a:p>
        </c:txPr>
        <c:crossAx val="215803376"/>
        <c:crosses val="autoZero"/>
        <c:auto val="1"/>
        <c:lblOffset val="100"/>
        <c:baseTimeUnit val="months"/>
      </c:dateAx>
      <c:valAx>
        <c:axId val="215803376"/>
        <c:scaling>
          <c:orientation val="minMax"/>
        </c:scaling>
        <c:delete val="0"/>
        <c:axPos val="l"/>
        <c:majorGridlines/>
        <c:title>
          <c:tx>
            <c:rich>
              <a:bodyPr rot="-5400000" vert="horz"/>
              <a:lstStyle/>
              <a:p>
                <a:pPr>
                  <a:defRPr sz="1400"/>
                </a:pPr>
                <a:r>
                  <a:rPr lang="en-US" sz="1400"/>
                  <a:t>Dollars per Dth</a:t>
                </a:r>
              </a:p>
            </c:rich>
          </c:tx>
          <c:layout>
            <c:manualLayout>
              <c:xMode val="edge"/>
              <c:yMode val="edge"/>
              <c:x val="5.2466343512858954E-3"/>
              <c:y val="0.41379530571591033"/>
            </c:manualLayout>
          </c:layout>
          <c:overlay val="0"/>
        </c:title>
        <c:numFmt formatCode="&quot;$&quot;#,##0.00" sourceLinked="1"/>
        <c:majorTickMark val="out"/>
        <c:minorTickMark val="none"/>
        <c:tickLblPos val="nextTo"/>
        <c:txPr>
          <a:bodyPr/>
          <a:lstStyle/>
          <a:p>
            <a:pPr>
              <a:defRPr sz="1400"/>
            </a:pPr>
            <a:endParaRPr lang="en-US"/>
          </a:p>
        </c:txPr>
        <c:crossAx val="215802984"/>
        <c:crosses val="autoZero"/>
        <c:crossBetween val="between"/>
      </c:valAx>
    </c:plotArea>
    <c:legend>
      <c:legendPos val="r"/>
      <c:layout>
        <c:manualLayout>
          <c:xMode val="edge"/>
          <c:yMode val="edge"/>
          <c:x val="0.19433099237565032"/>
          <c:y val="0.17540486764049013"/>
          <c:w val="0.18244885541663181"/>
          <c:h val="0.11971486686527054"/>
        </c:manualLayout>
      </c:layout>
      <c:overlay val="0"/>
      <c:spPr>
        <a:solidFill>
          <a:sysClr val="window" lastClr="FFFFFF"/>
        </a:solidFill>
        <a:ln>
          <a:solidFill>
            <a:sysClr val="windowText" lastClr="000000"/>
          </a:solidFill>
        </a:ln>
        <a:effectLst>
          <a:outerShdw blurRad="50800" dist="50800" dir="5400000" algn="ctr" rotWithShape="0">
            <a:srgbClr val="000000"/>
          </a:outerShdw>
        </a:effectLst>
      </c:spPr>
      <c:txPr>
        <a:bodyPr/>
        <a:lstStyle/>
        <a:p>
          <a:pPr>
            <a:defRPr sz="1400"/>
          </a:pPr>
          <a:endParaRPr lang="en-US"/>
        </a:p>
      </c:txPr>
    </c:legend>
    <c:plotVisOnly val="1"/>
    <c:dispBlanksAs val="gap"/>
    <c:showDLblsOverMax val="0"/>
  </c:chart>
  <c:spPr>
    <a:ln>
      <a:noFill/>
    </a:ln>
  </c:spPr>
  <c:printSettings>
    <c:headerFooter/>
    <c:pageMargins b="0.75000000000001354" l="0.70000000000000062" r="0.70000000000000062" t="0.75000000000001354" header="0.30000000000000032" footer="0.30000000000000032"/>
    <c:pageSetup orientation="landscape"/>
  </c:printSettings>
  <c:userShapes r:id="rId2"/>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2006645721009"/>
          <c:y val="9.5730791383295877E-2"/>
          <c:w val="0.86782632639670065"/>
          <c:h val="0.78427598223862183"/>
        </c:manualLayout>
      </c:layout>
      <c:barChart>
        <c:barDir val="col"/>
        <c:grouping val="clustered"/>
        <c:varyColors val="0"/>
        <c:ser>
          <c:idx val="0"/>
          <c:order val="0"/>
          <c:tx>
            <c:strRef>
              <c:f>'Ex 7 Co. Owned Gas'!$B$7</c:f>
              <c:strCache>
                <c:ptCount val="1"/>
                <c:pt idx="0">
                  <c:v>Actual</c:v>
                </c:pt>
              </c:strCache>
            </c:strRef>
          </c:tx>
          <c:spPr>
            <a:solidFill>
              <a:schemeClr val="bg1"/>
            </a:solidFill>
            <a:ln>
              <a:solidFill>
                <a:schemeClr val="tx1"/>
              </a:solidFill>
            </a:ln>
          </c:spPr>
          <c:invertIfNegative val="0"/>
          <c:dLbls>
            <c:dLbl>
              <c:idx val="0"/>
              <c:layout>
                <c:manualLayout>
                  <c:x val="3.4075481944067037E-3"/>
                  <c:y val="-3.2162690495279318E-2"/>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1"/>
              <c:layout>
                <c:manualLayout>
                  <c:x val="-3.2478698783341736E-4"/>
                  <c:y val="-9.5362606154834606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2"/>
              <c:layout>
                <c:manualLayout>
                  <c:x val="-5.6372263811971517E-5"/>
                  <c:y val="-6.5341911454523203E-3"/>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6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'Ex 7 Co. Owned Gas'!$A$14:$A$16</c:f>
              <c:numCache>
                <c:formatCode>mmm\-yy</c:formatCode>
                <c:ptCount val="3"/>
                <c:pt idx="0">
                  <c:v>42705</c:v>
                </c:pt>
                <c:pt idx="1">
                  <c:v>42736</c:v>
                </c:pt>
                <c:pt idx="2">
                  <c:v>42767</c:v>
                </c:pt>
              </c:numCache>
            </c:numRef>
          </c:cat>
          <c:val>
            <c:numRef>
              <c:f>'Ex 7 Co. Owned Gas'!$B$14:$B$16</c:f>
              <c:numCache>
                <c:formatCode>#,##0</c:formatCode>
                <c:ptCount val="3"/>
                <c:pt idx="0">
                  <c:v>5712.3699999999981</c:v>
                </c:pt>
                <c:pt idx="1">
                  <c:v>5410.81</c:v>
                </c:pt>
                <c:pt idx="2">
                  <c:v>4947.4699999999975</c:v>
                </c:pt>
              </c:numCache>
            </c:numRef>
          </c:val>
        </c:ser>
        <c:ser>
          <c:idx val="1"/>
          <c:order val="1"/>
          <c:tx>
            <c:strRef>
              <c:f>'Ex 7 Co. Owned Gas'!$C$7</c:f>
              <c:strCache>
                <c:ptCount val="1"/>
                <c:pt idx="0">
                  <c:v>IRP Forecast (Normal)</c:v>
                </c:pt>
              </c:strCache>
            </c:strRef>
          </c:tx>
          <c:spPr>
            <a:ln>
              <a:solidFill>
                <a:sysClr val="windowText" lastClr="000000"/>
              </a:solidFill>
            </a:ln>
          </c:spPr>
          <c:invertIfNegative val="0"/>
          <c:dLbls>
            <c:dLbl>
              <c:idx val="0"/>
              <c:layout>
                <c:manualLayout>
                  <c:x val="-3.0103647861328063E-17"/>
                  <c:y val="-2.7855157276359312E-2"/>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0"/>
                  <c:y val="-1.1142062910543744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wrap="square" lIns="38100" tIns="19050" rIns="38100" bIns="19050" anchor="ctr">
                <a:spAutoFit/>
              </a:bodyPr>
              <a:lstStyle/>
              <a:p>
                <a:pPr>
                  <a:defRPr sz="16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'Ex 7 Co. Owned Gas'!$A$14:$A$16</c:f>
              <c:numCache>
                <c:formatCode>mmm\-yy</c:formatCode>
                <c:ptCount val="3"/>
                <c:pt idx="0">
                  <c:v>42705</c:v>
                </c:pt>
                <c:pt idx="1">
                  <c:v>42736</c:v>
                </c:pt>
                <c:pt idx="2">
                  <c:v>42767</c:v>
                </c:pt>
              </c:numCache>
            </c:numRef>
          </c:cat>
          <c:val>
            <c:numRef>
              <c:f>'Ex 7 Co. Owned Gas'!$C$14:$C$16</c:f>
              <c:numCache>
                <c:formatCode>_(* #,##0_);_(* \(#,##0\);_(* "-"??_);_(@_)</c:formatCode>
                <c:ptCount val="3"/>
                <c:pt idx="0">
                  <c:v>5699.6538491696119</c:v>
                </c:pt>
                <c:pt idx="1">
                  <c:v>5610.8419172912836</c:v>
                </c:pt>
                <c:pt idx="2">
                  <c:v>4965.6348265111446</c:v>
                </c:pt>
              </c:numCache>
            </c:numRef>
          </c:val>
        </c:ser>
        <c:dLbls>
          <c:showLegendKey val="0"/>
          <c:showVal val="0"/>
          <c:showCatName val="0"/>
          <c:showSerName val="0"/>
          <c:showPercent val="0"/>
          <c:showBubbleSize val="0"/>
        </c:dLbls>
        <c:gapWidth val="150"/>
        <c:axId val="215804552"/>
        <c:axId val="215804944"/>
      </c:barChart>
      <c:dateAx>
        <c:axId val="215804552"/>
        <c:scaling>
          <c:orientation val="minMax"/>
        </c:scaling>
        <c:delete val="0"/>
        <c:axPos val="b"/>
        <c:numFmt formatCode="mmm\-yy" sourceLinked="0"/>
        <c:majorTickMark val="out"/>
        <c:minorTickMark val="none"/>
        <c:tickLblPos val="nextTo"/>
        <c:txPr>
          <a:bodyPr/>
          <a:lstStyle/>
          <a:p>
            <a:pPr>
              <a:defRPr sz="1400"/>
            </a:pPr>
            <a:endParaRPr lang="en-US"/>
          </a:p>
        </c:txPr>
        <c:crossAx val="215804944"/>
        <c:crosses val="autoZero"/>
        <c:auto val="1"/>
        <c:lblOffset val="100"/>
        <c:baseTimeUnit val="months"/>
      </c:dateAx>
      <c:valAx>
        <c:axId val="215804944"/>
        <c:scaling>
          <c:orientation val="minMax"/>
          <c:max val="7000"/>
          <c:min val="0"/>
        </c:scaling>
        <c:delete val="0"/>
        <c:axPos val="l"/>
        <c:majorGridlines/>
        <c:title>
          <c:tx>
            <c:rich>
              <a:bodyPr rot="-5400000" vert="horz"/>
              <a:lstStyle/>
              <a:p>
                <a:pPr>
                  <a:defRPr sz="1400"/>
                </a:pPr>
                <a:r>
                  <a:rPr lang="en-US" sz="1400"/>
                  <a:t>Mdth</a:t>
                </a:r>
              </a:p>
            </c:rich>
          </c:tx>
          <c:layout>
            <c:manualLayout>
              <c:xMode val="edge"/>
              <c:yMode val="edge"/>
              <c:x val="4.2622258424593492E-4"/>
              <c:y val="0.46619699620881383"/>
            </c:manualLayout>
          </c:layout>
          <c:overlay val="0"/>
        </c:title>
        <c:numFmt formatCode="#,##0" sourceLinked="1"/>
        <c:majorTickMark val="out"/>
        <c:minorTickMark val="none"/>
        <c:tickLblPos val="nextTo"/>
        <c:txPr>
          <a:bodyPr/>
          <a:lstStyle/>
          <a:p>
            <a:pPr>
              <a:defRPr sz="1400"/>
            </a:pPr>
            <a:endParaRPr lang="en-US"/>
          </a:p>
        </c:txPr>
        <c:crossAx val="215804552"/>
        <c:crosses val="autoZero"/>
        <c:crossBetween val="between"/>
      </c:valAx>
    </c:plotArea>
    <c:legend>
      <c:legendPos val="r"/>
      <c:legendEntry>
        <c:idx val="0"/>
        <c:txPr>
          <a:bodyPr/>
          <a:lstStyle/>
          <a:p>
            <a:pPr>
              <a:defRPr sz="1400"/>
            </a:pPr>
            <a:endParaRPr lang="en-US"/>
          </a:p>
        </c:txPr>
      </c:legendEntry>
      <c:layout>
        <c:manualLayout>
          <c:xMode val="edge"/>
          <c:yMode val="edge"/>
          <c:x val="0.34653362295230339"/>
          <c:y val="0.53513500393115965"/>
          <c:w val="0.16385244947829794"/>
          <c:h val="0.14825991537588598"/>
        </c:manualLayout>
      </c:layout>
      <c:overlay val="0"/>
      <c:spPr>
        <a:solidFill>
          <a:sysClr val="window" lastClr="FFFFFF"/>
        </a:solidFill>
        <a:ln>
          <a:solidFill>
            <a:sysClr val="windowText" lastClr="000000"/>
          </a:solidFill>
        </a:ln>
        <a:effectLst>
          <a:outerShdw blurRad="50800" dist="50800" dir="5400000" algn="ctr" rotWithShape="0">
            <a:srgbClr val="000000"/>
          </a:outerShdw>
        </a:effectLst>
      </c:spPr>
      <c:txPr>
        <a:bodyPr/>
        <a:lstStyle/>
        <a:p>
          <a:pPr>
            <a:defRPr sz="1400"/>
          </a:pPr>
          <a:endParaRPr lang="en-US"/>
        </a:p>
      </c:txPr>
    </c:legend>
    <c:plotVisOnly val="1"/>
    <c:dispBlanksAs val="gap"/>
    <c:showDLblsOverMax val="0"/>
  </c:chart>
  <c:spPr>
    <a:ln>
      <a:noFill/>
    </a:ln>
  </c:spPr>
  <c:printSettings>
    <c:headerFooter/>
    <c:pageMargins b="0.75000000000001465" l="0.70000000000000095" r="0.70000000000000095" t="0.75000000000001465" header="0.30000000000000032" footer="0.30000000000000032"/>
    <c:pageSetup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100907567276982"/>
          <c:y val="0.11446086362492335"/>
          <c:w val="0.88189640451570062"/>
          <c:h val="0.77006076295257664"/>
        </c:manualLayout>
      </c:layout>
      <c:barChart>
        <c:barDir val="col"/>
        <c:grouping val="clustered"/>
        <c:varyColors val="0"/>
        <c:ser>
          <c:idx val="0"/>
          <c:order val="0"/>
          <c:tx>
            <c:strRef>
              <c:f>'Ex 1 HDD'!$B$7</c:f>
              <c:strCache>
                <c:ptCount val="1"/>
                <c:pt idx="0">
                  <c:v>Actual</c:v>
                </c:pt>
              </c:strCache>
            </c:strRef>
          </c:tx>
          <c:spPr>
            <a:solidFill>
              <a:schemeClr val="bg1"/>
            </a:solidFill>
            <a:ln>
              <a:solidFill>
                <a:schemeClr val="tx1"/>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'Ex 1 HDD'!$A$8:$A$16</c:f>
              <c:numCache>
                <c:formatCode>mmm\-yy</c:formatCode>
                <c:ptCount val="9"/>
                <c:pt idx="0">
                  <c:v>42522</c:v>
                </c:pt>
                <c:pt idx="1">
                  <c:v>42552</c:v>
                </c:pt>
                <c:pt idx="2">
                  <c:v>42583</c:v>
                </c:pt>
                <c:pt idx="3">
                  <c:v>42614</c:v>
                </c:pt>
                <c:pt idx="4">
                  <c:v>42644</c:v>
                </c:pt>
                <c:pt idx="5">
                  <c:v>42675</c:v>
                </c:pt>
                <c:pt idx="6">
                  <c:v>42705</c:v>
                </c:pt>
                <c:pt idx="7">
                  <c:v>42736</c:v>
                </c:pt>
                <c:pt idx="8">
                  <c:v>42767</c:v>
                </c:pt>
              </c:numCache>
            </c:numRef>
          </c:cat>
          <c:val>
            <c:numRef>
              <c:f>'Ex 1 HDD'!$B$8:$B$16</c:f>
              <c:numCache>
                <c:formatCode>0</c:formatCode>
                <c:ptCount val="9"/>
                <c:pt idx="0">
                  <c:v>0</c:v>
                </c:pt>
                <c:pt idx="1">
                  <c:v>0</c:v>
                </c:pt>
                <c:pt idx="2">
                  <c:v>0</c:v>
                </c:pt>
                <c:pt idx="3">
                  <c:v>51</c:v>
                </c:pt>
                <c:pt idx="4">
                  <c:v>217</c:v>
                </c:pt>
                <c:pt idx="5">
                  <c:v>530</c:v>
                </c:pt>
                <c:pt idx="6">
                  <c:v>1090</c:v>
                </c:pt>
                <c:pt idx="7">
                  <c:v>1167</c:v>
                </c:pt>
                <c:pt idx="8">
                  <c:v>694</c:v>
                </c:pt>
              </c:numCache>
            </c:numRef>
          </c:val>
        </c:ser>
        <c:ser>
          <c:idx val="1"/>
          <c:order val="1"/>
          <c:tx>
            <c:strRef>
              <c:f>'Ex 1 HDD'!$C$7</c:f>
              <c:strCache>
                <c:ptCount val="1"/>
                <c:pt idx="0">
                  <c:v>IRP Forecast (Normal)</c:v>
                </c:pt>
              </c:strCache>
            </c:strRef>
          </c:tx>
          <c:spPr>
            <a:ln>
              <a:solidFill>
                <a:sysClr val="windowText" lastClr="00000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'Ex 1 HDD'!$A$8:$A$16</c:f>
              <c:numCache>
                <c:formatCode>mmm\-yy</c:formatCode>
                <c:ptCount val="9"/>
                <c:pt idx="0">
                  <c:v>42522</c:v>
                </c:pt>
                <c:pt idx="1">
                  <c:v>42552</c:v>
                </c:pt>
                <c:pt idx="2">
                  <c:v>42583</c:v>
                </c:pt>
                <c:pt idx="3">
                  <c:v>42614</c:v>
                </c:pt>
                <c:pt idx="4">
                  <c:v>42644</c:v>
                </c:pt>
                <c:pt idx="5">
                  <c:v>42675</c:v>
                </c:pt>
                <c:pt idx="6">
                  <c:v>42705</c:v>
                </c:pt>
                <c:pt idx="7">
                  <c:v>42736</c:v>
                </c:pt>
                <c:pt idx="8">
                  <c:v>42767</c:v>
                </c:pt>
              </c:numCache>
            </c:numRef>
          </c:cat>
          <c:val>
            <c:numRef>
              <c:f>'Ex 1 HDD'!$C$8:$C$16</c:f>
              <c:numCache>
                <c:formatCode>0</c:formatCode>
                <c:ptCount val="9"/>
                <c:pt idx="0">
                  <c:v>46.17</c:v>
                </c:pt>
                <c:pt idx="1">
                  <c:v>2.08</c:v>
                </c:pt>
                <c:pt idx="2">
                  <c:v>2.2999999999999998</c:v>
                </c:pt>
                <c:pt idx="3">
                  <c:v>79.83</c:v>
                </c:pt>
                <c:pt idx="4">
                  <c:v>374.12</c:v>
                </c:pt>
                <c:pt idx="5">
                  <c:v>744.18</c:v>
                </c:pt>
                <c:pt idx="6">
                  <c:v>1070.32</c:v>
                </c:pt>
                <c:pt idx="7">
                  <c:v>1096.1500000000001</c:v>
                </c:pt>
                <c:pt idx="8">
                  <c:v>865.63</c:v>
                </c:pt>
              </c:numCache>
            </c:numRef>
          </c:val>
        </c:ser>
        <c:dLbls>
          <c:showLegendKey val="0"/>
          <c:showVal val="0"/>
          <c:showCatName val="0"/>
          <c:showSerName val="0"/>
          <c:showPercent val="0"/>
          <c:showBubbleSize val="0"/>
        </c:dLbls>
        <c:gapWidth val="150"/>
        <c:axId val="130754424"/>
        <c:axId val="213457688"/>
      </c:barChart>
      <c:dateAx>
        <c:axId val="130754424"/>
        <c:scaling>
          <c:orientation val="minMax"/>
        </c:scaling>
        <c:delete val="0"/>
        <c:axPos val="b"/>
        <c:numFmt formatCode="mmm\-yy" sourceLinked="0"/>
        <c:majorTickMark val="out"/>
        <c:minorTickMark val="none"/>
        <c:tickLblPos val="nextTo"/>
        <c:txPr>
          <a:bodyPr/>
          <a:lstStyle/>
          <a:p>
            <a:pPr>
              <a:defRPr sz="1400"/>
            </a:pPr>
            <a:endParaRPr lang="en-US"/>
          </a:p>
        </c:txPr>
        <c:crossAx val="213457688"/>
        <c:crosses val="autoZero"/>
        <c:auto val="1"/>
        <c:lblOffset val="100"/>
        <c:baseTimeUnit val="months"/>
      </c:dateAx>
      <c:valAx>
        <c:axId val="213457688"/>
        <c:scaling>
          <c:orientation val="minMax"/>
        </c:scaling>
        <c:delete val="0"/>
        <c:axPos val="l"/>
        <c:majorGridlines/>
        <c:title>
          <c:tx>
            <c:rich>
              <a:bodyPr rot="-5400000" vert="horz"/>
              <a:lstStyle/>
              <a:p>
                <a:pPr>
                  <a:defRPr sz="1400"/>
                </a:pPr>
                <a:r>
                  <a:rPr lang="en-US" sz="1400"/>
                  <a:t>Degree Days</a:t>
                </a:r>
              </a:p>
            </c:rich>
          </c:tx>
          <c:overlay val="0"/>
        </c:title>
        <c:numFmt formatCode="0" sourceLinked="1"/>
        <c:majorTickMark val="out"/>
        <c:minorTickMark val="none"/>
        <c:tickLblPos val="nextTo"/>
        <c:txPr>
          <a:bodyPr/>
          <a:lstStyle/>
          <a:p>
            <a:pPr>
              <a:defRPr sz="1400"/>
            </a:pPr>
            <a:endParaRPr lang="en-US"/>
          </a:p>
        </c:txPr>
        <c:crossAx val="130754424"/>
        <c:crosses val="autoZero"/>
        <c:crossBetween val="between"/>
      </c:valAx>
    </c:plotArea>
    <c:legend>
      <c:legendPos val="r"/>
      <c:layout>
        <c:manualLayout>
          <c:xMode val="edge"/>
          <c:yMode val="edge"/>
          <c:x val="0.20246379650304908"/>
          <c:y val="0.27491413573303336"/>
          <c:w val="0.16050769773181334"/>
          <c:h val="0.15953700787401576"/>
        </c:manualLayout>
      </c:layout>
      <c:overlay val="0"/>
      <c:spPr>
        <a:solidFill>
          <a:sysClr val="window" lastClr="FFFFFF"/>
        </a:solidFill>
        <a:ln>
          <a:solidFill>
            <a:sysClr val="windowText" lastClr="000000"/>
          </a:solidFill>
        </a:ln>
        <a:effectLst>
          <a:outerShdw blurRad="50800" dist="50800" dir="5400000" algn="ctr" rotWithShape="0">
            <a:srgbClr val="000000"/>
          </a:outerShdw>
        </a:effectLst>
      </c:spPr>
      <c:txPr>
        <a:bodyPr/>
        <a:lstStyle/>
        <a:p>
          <a:pPr>
            <a:defRPr sz="1400"/>
          </a:pPr>
          <a:endParaRPr lang="en-US"/>
        </a:p>
      </c:txPr>
    </c:legend>
    <c:plotVisOnly val="1"/>
    <c:dispBlanksAs val="gap"/>
    <c:showDLblsOverMax val="0"/>
  </c:chart>
  <c:spPr>
    <a:ln>
      <a:noFill/>
    </a:ln>
  </c:spPr>
  <c:printSettings>
    <c:headerFooter/>
    <c:pageMargins b="0.75000000000001354" l="0.70000000000000062" r="0.70000000000000062" t="0.75000000000001354" header="0.30000000000000032" footer="0.30000000000000032"/>
    <c:pageSetup orientation="landscape"/>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272303893047852"/>
          <c:y val="0.11639270483486283"/>
          <c:w val="0.84674657047180313"/>
          <c:h val="0.74723623170498843"/>
        </c:manualLayout>
      </c:layout>
      <c:barChart>
        <c:barDir val="col"/>
        <c:grouping val="clustered"/>
        <c:varyColors val="0"/>
        <c:ser>
          <c:idx val="0"/>
          <c:order val="0"/>
          <c:tx>
            <c:strRef>
              <c:f>'Ex 7 Co. Owned Gas'!$B$7</c:f>
              <c:strCache>
                <c:ptCount val="1"/>
                <c:pt idx="0">
                  <c:v>Actual</c:v>
                </c:pt>
              </c:strCache>
            </c:strRef>
          </c:tx>
          <c:spPr>
            <a:solidFill>
              <a:schemeClr val="bg1"/>
            </a:solidFill>
            <a:ln>
              <a:solidFill>
                <a:schemeClr val="tx1"/>
              </a:solidFill>
            </a:ln>
          </c:spPr>
          <c:invertIfNegative val="0"/>
          <c:dLbls>
            <c:dLbl>
              <c:idx val="6"/>
              <c:layout>
                <c:manualLayout>
                  <c:x val="-1.4778325123152709E-2"/>
                  <c:y val="1.8726591760299283E-3"/>
                </c:manualLayout>
              </c:layout>
              <c:showLegendKey val="0"/>
              <c:showVal val="1"/>
              <c:showCatName val="0"/>
              <c:showSerName val="0"/>
              <c:showPercent val="0"/>
              <c:showBubbleSize val="0"/>
              <c:extLst>
                <c:ext xmlns:c15="http://schemas.microsoft.com/office/drawing/2012/chart" uri="{CE6537A1-D6FC-4f65-9D91-7224C49458BB}"/>
              </c:extLst>
            </c:dLbl>
            <c:dLbl>
              <c:idx val="8"/>
              <c:layout>
                <c:manualLayout>
                  <c:x val="-1.9704433497536946E-2"/>
                  <c:y val="5.6179775280898875E-3"/>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'Ex 7 Co. Owned Gas'!$A$8:$A$16</c:f>
              <c:numCache>
                <c:formatCode>mmm\-yy</c:formatCode>
                <c:ptCount val="9"/>
                <c:pt idx="0">
                  <c:v>42522</c:v>
                </c:pt>
                <c:pt idx="1">
                  <c:v>42552</c:v>
                </c:pt>
                <c:pt idx="2">
                  <c:v>42583</c:v>
                </c:pt>
                <c:pt idx="3">
                  <c:v>42614</c:v>
                </c:pt>
                <c:pt idx="4">
                  <c:v>42644</c:v>
                </c:pt>
                <c:pt idx="5">
                  <c:v>42675</c:v>
                </c:pt>
                <c:pt idx="6">
                  <c:v>42705</c:v>
                </c:pt>
                <c:pt idx="7">
                  <c:v>42736</c:v>
                </c:pt>
                <c:pt idx="8">
                  <c:v>42767</c:v>
                </c:pt>
              </c:numCache>
            </c:numRef>
          </c:cat>
          <c:val>
            <c:numRef>
              <c:f>'Ex 7 Co. Owned Gas'!$B$8:$B$16</c:f>
              <c:numCache>
                <c:formatCode>#,##0</c:formatCode>
                <c:ptCount val="9"/>
                <c:pt idx="0">
                  <c:v>5738.9100000000008</c:v>
                </c:pt>
                <c:pt idx="1">
                  <c:v>5875.2499999999991</c:v>
                </c:pt>
                <c:pt idx="2">
                  <c:v>5626.69</c:v>
                </c:pt>
                <c:pt idx="3">
                  <c:v>5701.7300000000023</c:v>
                </c:pt>
                <c:pt idx="4">
                  <c:v>5899.58</c:v>
                </c:pt>
                <c:pt idx="5">
                  <c:v>5676.22</c:v>
                </c:pt>
                <c:pt idx="6">
                  <c:v>5712.3699999999981</c:v>
                </c:pt>
                <c:pt idx="7">
                  <c:v>5410.81</c:v>
                </c:pt>
                <c:pt idx="8">
                  <c:v>4947.4699999999975</c:v>
                </c:pt>
              </c:numCache>
            </c:numRef>
          </c:val>
        </c:ser>
        <c:ser>
          <c:idx val="1"/>
          <c:order val="1"/>
          <c:tx>
            <c:strRef>
              <c:f>'Ex 7 Co. Owned Gas'!$C$7</c:f>
              <c:strCache>
                <c:ptCount val="1"/>
                <c:pt idx="0">
                  <c:v>IRP Forecast (Normal)</c:v>
                </c:pt>
              </c:strCache>
            </c:strRef>
          </c:tx>
          <c:spPr>
            <a:ln>
              <a:solidFill>
                <a:sysClr val="windowText" lastClr="00000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'Ex 7 Co. Owned Gas'!$A$8:$A$16</c:f>
              <c:numCache>
                <c:formatCode>mmm\-yy</c:formatCode>
                <c:ptCount val="9"/>
                <c:pt idx="0">
                  <c:v>42522</c:v>
                </c:pt>
                <c:pt idx="1">
                  <c:v>42552</c:v>
                </c:pt>
                <c:pt idx="2">
                  <c:v>42583</c:v>
                </c:pt>
                <c:pt idx="3">
                  <c:v>42614</c:v>
                </c:pt>
                <c:pt idx="4">
                  <c:v>42644</c:v>
                </c:pt>
                <c:pt idx="5">
                  <c:v>42675</c:v>
                </c:pt>
                <c:pt idx="6">
                  <c:v>42705</c:v>
                </c:pt>
                <c:pt idx="7">
                  <c:v>42736</c:v>
                </c:pt>
                <c:pt idx="8">
                  <c:v>42767</c:v>
                </c:pt>
              </c:numCache>
            </c:numRef>
          </c:cat>
          <c:val>
            <c:numRef>
              <c:f>'Ex 7 Co. Owned Gas'!$C$8:$C$16</c:f>
              <c:numCache>
                <c:formatCode>_(* #,##0_);_(* \(#,##0\);_(* "-"??_);_(@_)</c:formatCode>
                <c:ptCount val="9"/>
                <c:pt idx="0">
                  <c:v>5344.2979461848736</c:v>
                </c:pt>
                <c:pt idx="1">
                  <c:v>5520.9338066577911</c:v>
                </c:pt>
                <c:pt idx="2">
                  <c:v>5441.3772496581078</c:v>
                </c:pt>
                <c:pt idx="3">
                  <c:v>5176.3080141991377</c:v>
                </c:pt>
                <c:pt idx="4">
                  <c:v>5307.6774236559868</c:v>
                </c:pt>
                <c:pt idx="5">
                  <c:v>5238.4319805800915</c:v>
                </c:pt>
                <c:pt idx="6">
                  <c:v>5699.6538491696119</c:v>
                </c:pt>
                <c:pt idx="7">
                  <c:v>5610.8419172912836</c:v>
                </c:pt>
                <c:pt idx="8">
                  <c:v>4965.6348265111446</c:v>
                </c:pt>
              </c:numCache>
            </c:numRef>
          </c:val>
        </c:ser>
        <c:dLbls>
          <c:showLegendKey val="0"/>
          <c:showVal val="0"/>
          <c:showCatName val="0"/>
          <c:showSerName val="0"/>
          <c:showPercent val="0"/>
          <c:showBubbleSize val="0"/>
        </c:dLbls>
        <c:gapWidth val="150"/>
        <c:axId val="215805728"/>
        <c:axId val="215806120"/>
      </c:barChart>
      <c:dateAx>
        <c:axId val="215805728"/>
        <c:scaling>
          <c:orientation val="minMax"/>
        </c:scaling>
        <c:delete val="0"/>
        <c:axPos val="b"/>
        <c:numFmt formatCode="mmm\-yy" sourceLinked="0"/>
        <c:majorTickMark val="out"/>
        <c:minorTickMark val="none"/>
        <c:tickLblPos val="nextTo"/>
        <c:txPr>
          <a:bodyPr/>
          <a:lstStyle/>
          <a:p>
            <a:pPr>
              <a:defRPr sz="1400"/>
            </a:pPr>
            <a:endParaRPr lang="en-US"/>
          </a:p>
        </c:txPr>
        <c:crossAx val="215806120"/>
        <c:crosses val="autoZero"/>
        <c:auto val="1"/>
        <c:lblOffset val="100"/>
        <c:baseTimeUnit val="months"/>
      </c:dateAx>
      <c:valAx>
        <c:axId val="215806120"/>
        <c:scaling>
          <c:orientation val="minMax"/>
          <c:min val="0"/>
        </c:scaling>
        <c:delete val="0"/>
        <c:axPos val="l"/>
        <c:majorGridlines/>
        <c:title>
          <c:tx>
            <c:rich>
              <a:bodyPr rot="-5400000" vert="horz"/>
              <a:lstStyle/>
              <a:p>
                <a:pPr>
                  <a:defRPr sz="1400"/>
                </a:pPr>
                <a:r>
                  <a:rPr lang="en-US" sz="1400"/>
                  <a:t>Mdth</a:t>
                </a:r>
              </a:p>
            </c:rich>
          </c:tx>
          <c:layout>
            <c:manualLayout>
              <c:xMode val="edge"/>
              <c:yMode val="edge"/>
              <c:x val="1.5173318852384828E-2"/>
              <c:y val="0.4508085562057953"/>
            </c:manualLayout>
          </c:layout>
          <c:overlay val="0"/>
        </c:title>
        <c:numFmt formatCode="#,##0" sourceLinked="1"/>
        <c:majorTickMark val="out"/>
        <c:minorTickMark val="none"/>
        <c:tickLblPos val="nextTo"/>
        <c:txPr>
          <a:bodyPr/>
          <a:lstStyle/>
          <a:p>
            <a:pPr>
              <a:defRPr sz="1400"/>
            </a:pPr>
            <a:endParaRPr lang="en-US"/>
          </a:p>
        </c:txPr>
        <c:crossAx val="215805728"/>
        <c:crosses val="autoZero"/>
        <c:crossBetween val="between"/>
      </c:valAx>
    </c:plotArea>
    <c:legend>
      <c:legendPos val="r"/>
      <c:legendEntry>
        <c:idx val="0"/>
        <c:txPr>
          <a:bodyPr/>
          <a:lstStyle/>
          <a:p>
            <a:pPr>
              <a:defRPr sz="1400"/>
            </a:pPr>
            <a:endParaRPr lang="en-US"/>
          </a:p>
        </c:txPr>
      </c:legendEntry>
      <c:layout>
        <c:manualLayout>
          <c:xMode val="edge"/>
          <c:yMode val="edge"/>
          <c:x val="0.65747798766533494"/>
          <c:y val="0.47195434840307882"/>
          <c:w val="0.24595425571803525"/>
          <c:h val="0.13827331976761331"/>
        </c:manualLayout>
      </c:layout>
      <c:overlay val="0"/>
      <c:spPr>
        <a:solidFill>
          <a:sysClr val="window" lastClr="FFFFFF"/>
        </a:solidFill>
        <a:ln>
          <a:solidFill>
            <a:sysClr val="windowText" lastClr="000000"/>
          </a:solidFill>
        </a:ln>
        <a:effectLst>
          <a:outerShdw blurRad="50800" dist="50800" dir="5400000" algn="ctr" rotWithShape="0">
            <a:srgbClr val="000000"/>
          </a:outerShdw>
        </a:effectLst>
      </c:spPr>
      <c:txPr>
        <a:bodyPr/>
        <a:lstStyle/>
        <a:p>
          <a:pPr>
            <a:defRPr sz="1400"/>
          </a:pPr>
          <a:endParaRPr lang="en-US"/>
        </a:p>
      </c:txPr>
    </c:legend>
    <c:plotVisOnly val="1"/>
    <c:dispBlanksAs val="gap"/>
    <c:showDLblsOverMax val="0"/>
  </c:chart>
  <c:spPr>
    <a:ln>
      <a:noFill/>
    </a:ln>
  </c:spPr>
  <c:printSettings>
    <c:headerFooter/>
    <c:pageMargins b="0.75000000000001354" l="0.70000000000000062" r="0.70000000000000062" t="0.75000000000001354" header="0.30000000000000032" footer="0.30000000000000032"/>
    <c:pageSetup orientation="landscape"/>
  </c:printSettings>
  <c:userShapes r:id="rId2"/>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886623547056629"/>
          <c:y val="0.11768713652405924"/>
          <c:w val="0.86403929977502814"/>
          <c:h val="0.77006076295257664"/>
        </c:manualLayout>
      </c:layout>
      <c:barChart>
        <c:barDir val="col"/>
        <c:grouping val="clustered"/>
        <c:varyColors val="0"/>
        <c:ser>
          <c:idx val="0"/>
          <c:order val="0"/>
          <c:tx>
            <c:strRef>
              <c:f>'Ex 7 Co. Owned Gas'!$H$7</c:f>
              <c:strCache>
                <c:ptCount val="1"/>
                <c:pt idx="0">
                  <c:v>Actual</c:v>
                </c:pt>
              </c:strCache>
            </c:strRef>
          </c:tx>
          <c:spPr>
            <a:solidFill>
              <a:schemeClr val="bg1"/>
            </a:solidFill>
            <a:ln>
              <a:solidFill>
                <a:schemeClr val="tx1"/>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'Ex 7 Co. Owned Gas'!$A$8:$A$16</c:f>
              <c:numCache>
                <c:formatCode>mmm\-yy</c:formatCode>
                <c:ptCount val="9"/>
                <c:pt idx="0">
                  <c:v>42522</c:v>
                </c:pt>
                <c:pt idx="1">
                  <c:v>42552</c:v>
                </c:pt>
                <c:pt idx="2">
                  <c:v>42583</c:v>
                </c:pt>
                <c:pt idx="3">
                  <c:v>42614</c:v>
                </c:pt>
                <c:pt idx="4">
                  <c:v>42644</c:v>
                </c:pt>
                <c:pt idx="5">
                  <c:v>42675</c:v>
                </c:pt>
                <c:pt idx="6">
                  <c:v>42705</c:v>
                </c:pt>
                <c:pt idx="7">
                  <c:v>42736</c:v>
                </c:pt>
                <c:pt idx="8">
                  <c:v>42767</c:v>
                </c:pt>
              </c:numCache>
            </c:numRef>
          </c:cat>
          <c:val>
            <c:numRef>
              <c:f>'Ex 7 Co. Owned Gas'!$H$8:$H$16</c:f>
              <c:numCache>
                <c:formatCode>#,##0</c:formatCode>
                <c:ptCount val="9"/>
                <c:pt idx="0">
                  <c:v>5738.9100000000008</c:v>
                </c:pt>
                <c:pt idx="1">
                  <c:v>11614.16</c:v>
                </c:pt>
                <c:pt idx="2">
                  <c:v>17240.849999999999</c:v>
                </c:pt>
                <c:pt idx="3">
                  <c:v>22942.58</c:v>
                </c:pt>
                <c:pt idx="4">
                  <c:v>28842.160000000003</c:v>
                </c:pt>
                <c:pt idx="5">
                  <c:v>34518.380000000005</c:v>
                </c:pt>
                <c:pt idx="6">
                  <c:v>40230.75</c:v>
                </c:pt>
                <c:pt idx="7">
                  <c:v>45641.56</c:v>
                </c:pt>
                <c:pt idx="8">
                  <c:v>50589.03</c:v>
                </c:pt>
              </c:numCache>
            </c:numRef>
          </c:val>
        </c:ser>
        <c:ser>
          <c:idx val="1"/>
          <c:order val="1"/>
          <c:tx>
            <c:strRef>
              <c:f>'Ex 7 Co. Owned Gas'!$I$7</c:f>
              <c:strCache>
                <c:ptCount val="1"/>
                <c:pt idx="0">
                  <c:v>IRP Forecast (Normal)</c:v>
                </c:pt>
              </c:strCache>
            </c:strRef>
          </c:tx>
          <c:spPr>
            <a:ln w="6350">
              <a:solidFill>
                <a:sysClr val="windowText" lastClr="000000"/>
              </a:solidFill>
            </a:ln>
          </c:spPr>
          <c:invertIfNegative val="0"/>
          <c:dLbls>
            <c:dLbl>
              <c:idx val="0"/>
              <c:layout>
                <c:manualLayout>
                  <c:x val="8.2101806239736966E-3"/>
                  <c:y val="5.6179775280898875E-3"/>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1.4778325123152679E-2"/>
                  <c:y val="0"/>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9.8522167487684123E-3"/>
                  <c:y val="5.6179775280897504E-3"/>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1.3136288998357963E-2"/>
                  <c:y val="7.4906367041199188E-3"/>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9.852216748768473E-3"/>
                  <c:y val="0"/>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9.852216748768473E-3"/>
                  <c:y val="1.8726591760299626E-3"/>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1.1494252873563099E-2"/>
                  <c:y val="1.1235955056179775E-2"/>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9.8522167487683533E-3"/>
                  <c:y val="5.6179775280898537E-3"/>
                </c:manualLayout>
              </c:layout>
              <c:showLegendKey val="0"/>
              <c:showVal val="1"/>
              <c:showCatName val="0"/>
              <c:showSerName val="0"/>
              <c:showPercent val="0"/>
              <c:showBubbleSize val="0"/>
              <c:extLst>
                <c:ext xmlns:c15="http://schemas.microsoft.com/office/drawing/2012/chart" uri="{CE6537A1-D6FC-4f65-9D91-7224C49458BB}"/>
              </c:extLst>
            </c:dLbl>
            <c:dLbl>
              <c:idx val="8"/>
              <c:layout>
                <c:manualLayout>
                  <c:x val="1.3136288998357844E-2"/>
                  <c:y val="5.6179775280898537E-3"/>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'Ex 7 Co. Owned Gas'!$A$8:$A$16</c:f>
              <c:numCache>
                <c:formatCode>mmm\-yy</c:formatCode>
                <c:ptCount val="9"/>
                <c:pt idx="0">
                  <c:v>42522</c:v>
                </c:pt>
                <c:pt idx="1">
                  <c:v>42552</c:v>
                </c:pt>
                <c:pt idx="2">
                  <c:v>42583</c:v>
                </c:pt>
                <c:pt idx="3">
                  <c:v>42614</c:v>
                </c:pt>
                <c:pt idx="4">
                  <c:v>42644</c:v>
                </c:pt>
                <c:pt idx="5">
                  <c:v>42675</c:v>
                </c:pt>
                <c:pt idx="6">
                  <c:v>42705</c:v>
                </c:pt>
                <c:pt idx="7">
                  <c:v>42736</c:v>
                </c:pt>
                <c:pt idx="8">
                  <c:v>42767</c:v>
                </c:pt>
              </c:numCache>
            </c:numRef>
          </c:cat>
          <c:val>
            <c:numRef>
              <c:f>'Ex 7 Co. Owned Gas'!$I$8:$I$16</c:f>
              <c:numCache>
                <c:formatCode>#,##0</c:formatCode>
                <c:ptCount val="9"/>
                <c:pt idx="0">
                  <c:v>5344.2979461848736</c:v>
                </c:pt>
                <c:pt idx="1">
                  <c:v>10865.231752842665</c:v>
                </c:pt>
                <c:pt idx="2">
                  <c:v>16306.609002500772</c:v>
                </c:pt>
                <c:pt idx="3">
                  <c:v>21482.91701669991</c:v>
                </c:pt>
                <c:pt idx="4">
                  <c:v>26790.594440355897</c:v>
                </c:pt>
                <c:pt idx="5">
                  <c:v>32029.026420935988</c:v>
                </c:pt>
                <c:pt idx="6">
                  <c:v>37728.6802701056</c:v>
                </c:pt>
                <c:pt idx="7">
                  <c:v>43339.522187396884</c:v>
                </c:pt>
                <c:pt idx="8">
                  <c:v>48305.157013908029</c:v>
                </c:pt>
              </c:numCache>
            </c:numRef>
          </c:val>
        </c:ser>
        <c:dLbls>
          <c:showLegendKey val="0"/>
          <c:showVal val="0"/>
          <c:showCatName val="0"/>
          <c:showSerName val="0"/>
          <c:showPercent val="0"/>
          <c:showBubbleSize val="0"/>
        </c:dLbls>
        <c:gapWidth val="150"/>
        <c:axId val="215806904"/>
        <c:axId val="215807296"/>
      </c:barChart>
      <c:dateAx>
        <c:axId val="215806904"/>
        <c:scaling>
          <c:orientation val="minMax"/>
        </c:scaling>
        <c:delete val="0"/>
        <c:axPos val="b"/>
        <c:numFmt formatCode="mmm\-yy" sourceLinked="0"/>
        <c:majorTickMark val="out"/>
        <c:minorTickMark val="none"/>
        <c:tickLblPos val="nextTo"/>
        <c:txPr>
          <a:bodyPr/>
          <a:lstStyle/>
          <a:p>
            <a:pPr>
              <a:defRPr sz="1400"/>
            </a:pPr>
            <a:endParaRPr lang="en-US"/>
          </a:p>
        </c:txPr>
        <c:crossAx val="215807296"/>
        <c:crosses val="autoZero"/>
        <c:auto val="1"/>
        <c:lblOffset val="100"/>
        <c:baseTimeUnit val="months"/>
      </c:dateAx>
      <c:valAx>
        <c:axId val="215807296"/>
        <c:scaling>
          <c:orientation val="minMax"/>
        </c:scaling>
        <c:delete val="0"/>
        <c:axPos val="l"/>
        <c:majorGridlines/>
        <c:title>
          <c:tx>
            <c:rich>
              <a:bodyPr rot="-5400000" vert="horz"/>
              <a:lstStyle/>
              <a:p>
                <a:pPr>
                  <a:defRPr sz="1400"/>
                </a:pPr>
                <a:r>
                  <a:rPr lang="en-US" sz="1400"/>
                  <a:t>Mdth</a:t>
                </a:r>
              </a:p>
            </c:rich>
          </c:tx>
          <c:overlay val="0"/>
        </c:title>
        <c:numFmt formatCode="#,##0" sourceLinked="1"/>
        <c:majorTickMark val="out"/>
        <c:minorTickMark val="none"/>
        <c:tickLblPos val="nextTo"/>
        <c:txPr>
          <a:bodyPr/>
          <a:lstStyle/>
          <a:p>
            <a:pPr>
              <a:defRPr sz="1400"/>
            </a:pPr>
            <a:endParaRPr lang="en-US"/>
          </a:p>
        </c:txPr>
        <c:crossAx val="215806904"/>
        <c:crosses val="autoZero"/>
        <c:crossBetween val="between"/>
      </c:valAx>
    </c:plotArea>
    <c:legend>
      <c:legendPos val="r"/>
      <c:layout>
        <c:manualLayout>
          <c:xMode val="edge"/>
          <c:yMode val="edge"/>
          <c:x val="0.19050463519646299"/>
          <c:y val="0.25082883600224226"/>
          <c:w val="0.14743208823035048"/>
          <c:h val="0.12891002388746353"/>
        </c:manualLayout>
      </c:layout>
      <c:overlay val="0"/>
      <c:spPr>
        <a:solidFill>
          <a:sysClr val="window" lastClr="FFFFFF"/>
        </a:solidFill>
        <a:ln>
          <a:solidFill>
            <a:sysClr val="windowText" lastClr="000000"/>
          </a:solidFill>
        </a:ln>
        <a:effectLst>
          <a:outerShdw blurRad="50800" dist="50800" dir="5400000" algn="ctr" rotWithShape="0">
            <a:srgbClr val="000000"/>
          </a:outerShdw>
        </a:effectLst>
      </c:spPr>
      <c:txPr>
        <a:bodyPr/>
        <a:lstStyle/>
        <a:p>
          <a:pPr>
            <a:defRPr sz="1400"/>
          </a:pPr>
          <a:endParaRPr lang="en-US"/>
        </a:p>
      </c:txPr>
    </c:legend>
    <c:plotVisOnly val="1"/>
    <c:dispBlanksAs val="gap"/>
    <c:showDLblsOverMax val="0"/>
  </c:chart>
  <c:spPr>
    <a:ln>
      <a:noFill/>
    </a:ln>
  </c:spPr>
  <c:printSettings>
    <c:headerFooter/>
    <c:pageMargins b="0.75000000000001343" l="0.70000000000000062" r="0.70000000000000062" t="0.75000000000001343" header="0.30000000000000032" footer="0.30000000000000032"/>
    <c:pageSetup orientation="landscape"/>
  </c:printSettings>
  <c:userShapes r:id="rId2"/>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45130134595246"/>
          <c:y val="0.10014483483682186"/>
          <c:w val="0.88986829771278586"/>
          <c:h val="0.80696692325224051"/>
        </c:manualLayout>
      </c:layout>
      <c:barChart>
        <c:barDir val="col"/>
        <c:grouping val="clustered"/>
        <c:varyColors val="0"/>
        <c:ser>
          <c:idx val="0"/>
          <c:order val="0"/>
          <c:tx>
            <c:strRef>
              <c:f>'Ex 8 New Drill'!$B$6</c:f>
              <c:strCache>
                <c:ptCount val="1"/>
                <c:pt idx="0">
                  <c:v>New Drill Actual</c:v>
                </c:pt>
              </c:strCache>
            </c:strRef>
          </c:tx>
          <c:spPr>
            <a:solidFill>
              <a:schemeClr val="bg1"/>
            </a:solidFill>
            <a:ln>
              <a:solidFill>
                <a:schemeClr val="tx1"/>
              </a:solidFill>
            </a:ln>
          </c:spPr>
          <c:invertIfNegative val="0"/>
          <c:dLbls>
            <c:dLbl>
              <c:idx val="0"/>
              <c:layout>
                <c:manualLayout>
                  <c:x val="-1.2929418305470437E-7"/>
                  <c:y val="-3.6633656087106761E-3"/>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1.6417775364286362E-3"/>
                  <c:y val="-5.6976701441731545E-3"/>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3.2840722495894909E-3"/>
                  <c:y val="-1.8674136321195146E-3"/>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2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'Ex 8 New Drill'!$A$13:$A$15</c:f>
              <c:numCache>
                <c:formatCode>mmm\-yy</c:formatCode>
                <c:ptCount val="3"/>
                <c:pt idx="0">
                  <c:v>42705</c:v>
                </c:pt>
                <c:pt idx="1">
                  <c:v>42736</c:v>
                </c:pt>
                <c:pt idx="2">
                  <c:v>42767</c:v>
                </c:pt>
              </c:numCache>
            </c:numRef>
          </c:cat>
          <c:val>
            <c:numRef>
              <c:f>'Ex 8 New Drill'!$B$13:$B$15</c:f>
              <c:numCache>
                <c:formatCode>#,##0</c:formatCode>
                <c:ptCount val="3"/>
                <c:pt idx="0">
                  <c:v>311.52</c:v>
                </c:pt>
                <c:pt idx="1">
                  <c:v>278.99</c:v>
                </c:pt>
                <c:pt idx="2">
                  <c:v>228.64000000000001</c:v>
                </c:pt>
              </c:numCache>
            </c:numRef>
          </c:val>
        </c:ser>
        <c:ser>
          <c:idx val="1"/>
          <c:order val="1"/>
          <c:tx>
            <c:strRef>
              <c:f>'Ex 8 New Drill'!$C$6</c:f>
              <c:strCache>
                <c:ptCount val="1"/>
                <c:pt idx="0">
                  <c:v>New Drill IRP Forecast (Normal)</c:v>
                </c:pt>
              </c:strCache>
            </c:strRef>
          </c:tx>
          <c:spPr>
            <a:ln>
              <a:solidFill>
                <a:sysClr val="windowText" lastClr="000000"/>
              </a:solidFill>
            </a:ln>
          </c:spPr>
          <c:invertIfNegative val="0"/>
          <c:dLbls>
            <c:spPr>
              <a:noFill/>
              <a:ln>
                <a:noFill/>
              </a:ln>
              <a:effectLst/>
            </c:spPr>
            <c:txPr>
              <a:bodyPr wrap="square" lIns="38100" tIns="19050" rIns="38100" bIns="19050" anchor="ctr" anchorCtr="0">
                <a:spAutoFit/>
              </a:bodyPr>
              <a:lstStyle/>
              <a:p>
                <a:pPr algn="ctr">
                  <a:defRPr lang="en-US" sz="12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'Ex 8 New Drill'!$A$13:$A$15</c:f>
              <c:numCache>
                <c:formatCode>mmm\-yy</c:formatCode>
                <c:ptCount val="3"/>
                <c:pt idx="0">
                  <c:v>42705</c:v>
                </c:pt>
                <c:pt idx="1">
                  <c:v>42736</c:v>
                </c:pt>
                <c:pt idx="2">
                  <c:v>42767</c:v>
                </c:pt>
              </c:numCache>
            </c:numRef>
          </c:cat>
          <c:val>
            <c:numRef>
              <c:f>'Ex 8 New Drill'!$C$13:$C$15</c:f>
              <c:numCache>
                <c:formatCode>#,##0</c:formatCode>
                <c:ptCount val="3"/>
                <c:pt idx="0">
                  <c:v>695.85391235351562</c:v>
                </c:pt>
                <c:pt idx="1">
                  <c:v>670.20759153366089</c:v>
                </c:pt>
                <c:pt idx="2">
                  <c:v>557.75998115539551</c:v>
                </c:pt>
              </c:numCache>
            </c:numRef>
          </c:val>
        </c:ser>
        <c:ser>
          <c:idx val="2"/>
          <c:order val="2"/>
          <c:tx>
            <c:strRef>
              <c:f>'Ex 8 New Drill'!$D$6</c:f>
              <c:strCache>
                <c:ptCount val="1"/>
                <c:pt idx="0">
                  <c:v>Legacy Actual</c:v>
                </c:pt>
              </c:strCache>
            </c:strRef>
          </c:tx>
          <c:spPr>
            <a:ln>
              <a:solidFill>
                <a:sysClr val="windowText" lastClr="000000"/>
              </a:solidFill>
            </a:ln>
          </c:spPr>
          <c:invertIfNegative val="0"/>
          <c:dLbls>
            <c:dLbl>
              <c:idx val="1"/>
              <c:layout>
                <c:manualLayout>
                  <c:x val="0"/>
                  <c:y val="-5.6022408963585608E-3"/>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wrap="square" lIns="38100" tIns="19050" rIns="38100" bIns="19050" anchor="ctr" anchorCtr="0">
                <a:spAutoFit/>
              </a:bodyPr>
              <a:lstStyle/>
              <a:p>
                <a:pPr algn="ctr">
                  <a:defRPr lang="en-US" sz="12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'Ex 8 New Drill'!$A$13:$A$15</c:f>
              <c:numCache>
                <c:formatCode>mmm\-yy</c:formatCode>
                <c:ptCount val="3"/>
                <c:pt idx="0">
                  <c:v>42705</c:v>
                </c:pt>
                <c:pt idx="1">
                  <c:v>42736</c:v>
                </c:pt>
                <c:pt idx="2">
                  <c:v>42767</c:v>
                </c:pt>
              </c:numCache>
            </c:numRef>
          </c:cat>
          <c:val>
            <c:numRef>
              <c:f>'Ex 8 New Drill'!$D$13:$D$15</c:f>
              <c:numCache>
                <c:formatCode>#,##0</c:formatCode>
                <c:ptCount val="3"/>
                <c:pt idx="0">
                  <c:v>5400.8499999999985</c:v>
                </c:pt>
                <c:pt idx="1">
                  <c:v>5131.8200000000006</c:v>
                </c:pt>
                <c:pt idx="2">
                  <c:v>4718.8299999999972</c:v>
                </c:pt>
              </c:numCache>
            </c:numRef>
          </c:val>
        </c:ser>
        <c:ser>
          <c:idx val="3"/>
          <c:order val="3"/>
          <c:tx>
            <c:strRef>
              <c:f>'Ex 8 New Drill'!$E$6</c:f>
              <c:strCache>
                <c:ptCount val="1"/>
                <c:pt idx="0">
                  <c:v>Legacy IRP Forecast (Normal)</c:v>
                </c:pt>
              </c:strCache>
            </c:strRef>
          </c:tx>
          <c:spPr>
            <a:ln>
              <a:solidFill>
                <a:sysClr val="windowText" lastClr="000000"/>
              </a:solidFill>
            </a:ln>
          </c:spPr>
          <c:invertIfNegative val="0"/>
          <c:dLbls>
            <c:dLbl>
              <c:idx val="2"/>
              <c:layout>
                <c:manualLayout>
                  <c:x val="-1.2041459144531225E-16"/>
                  <c:y val="-5.6022408963585435E-3"/>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wrap="square" lIns="38100" tIns="19050" rIns="38100" bIns="19050" anchor="ctr" anchorCtr="0">
                <a:spAutoFit/>
              </a:bodyPr>
              <a:lstStyle/>
              <a:p>
                <a:pPr algn="ctr">
                  <a:defRPr lang="en-US" sz="12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'Ex 8 New Drill'!$A$13:$A$15</c:f>
              <c:numCache>
                <c:formatCode>mmm\-yy</c:formatCode>
                <c:ptCount val="3"/>
                <c:pt idx="0">
                  <c:v>42705</c:v>
                </c:pt>
                <c:pt idx="1">
                  <c:v>42736</c:v>
                </c:pt>
                <c:pt idx="2">
                  <c:v>42767</c:v>
                </c:pt>
              </c:numCache>
            </c:numRef>
          </c:cat>
          <c:val>
            <c:numRef>
              <c:f>'Ex 8 New Drill'!$E$13:$E$15</c:f>
              <c:numCache>
                <c:formatCode>#,##0</c:formatCode>
                <c:ptCount val="3"/>
                <c:pt idx="0">
                  <c:v>5003.7999368160963</c:v>
                </c:pt>
                <c:pt idx="1">
                  <c:v>4940.6343257576227</c:v>
                </c:pt>
                <c:pt idx="2">
                  <c:v>4407.8748453557491</c:v>
                </c:pt>
              </c:numCache>
            </c:numRef>
          </c:val>
        </c:ser>
        <c:dLbls>
          <c:showLegendKey val="0"/>
          <c:showVal val="0"/>
          <c:showCatName val="0"/>
          <c:showSerName val="0"/>
          <c:showPercent val="0"/>
          <c:showBubbleSize val="0"/>
        </c:dLbls>
        <c:gapWidth val="150"/>
        <c:axId val="215808080"/>
        <c:axId val="215808472"/>
      </c:barChart>
      <c:dateAx>
        <c:axId val="215808080"/>
        <c:scaling>
          <c:orientation val="minMax"/>
        </c:scaling>
        <c:delete val="0"/>
        <c:axPos val="b"/>
        <c:numFmt formatCode="mmm\-yy" sourceLinked="0"/>
        <c:majorTickMark val="out"/>
        <c:minorTickMark val="none"/>
        <c:tickLblPos val="nextTo"/>
        <c:txPr>
          <a:bodyPr/>
          <a:lstStyle/>
          <a:p>
            <a:pPr>
              <a:defRPr sz="1400"/>
            </a:pPr>
            <a:endParaRPr lang="en-US"/>
          </a:p>
        </c:txPr>
        <c:crossAx val="215808472"/>
        <c:crosses val="autoZero"/>
        <c:auto val="1"/>
        <c:lblOffset val="100"/>
        <c:baseTimeUnit val="months"/>
      </c:dateAx>
      <c:valAx>
        <c:axId val="215808472"/>
        <c:scaling>
          <c:orientation val="minMax"/>
        </c:scaling>
        <c:delete val="0"/>
        <c:axPos val="l"/>
        <c:majorGridlines/>
        <c:title>
          <c:tx>
            <c:rich>
              <a:bodyPr rot="-5400000" vert="horz"/>
              <a:lstStyle/>
              <a:p>
                <a:pPr>
                  <a:defRPr sz="1400"/>
                </a:pPr>
                <a:r>
                  <a:rPr lang="en-US" sz="1400"/>
                  <a:t>Mdth</a:t>
                </a:r>
              </a:p>
            </c:rich>
          </c:tx>
          <c:layout>
            <c:manualLayout>
              <c:xMode val="edge"/>
              <c:yMode val="edge"/>
              <c:x val="4.2622579154350014E-4"/>
              <c:y val="0.46619709463938869"/>
            </c:manualLayout>
          </c:layout>
          <c:overlay val="0"/>
        </c:title>
        <c:numFmt formatCode="#,##0" sourceLinked="1"/>
        <c:majorTickMark val="out"/>
        <c:minorTickMark val="none"/>
        <c:tickLblPos val="nextTo"/>
        <c:txPr>
          <a:bodyPr/>
          <a:lstStyle/>
          <a:p>
            <a:pPr>
              <a:defRPr sz="1400"/>
            </a:pPr>
            <a:endParaRPr lang="en-US"/>
          </a:p>
        </c:txPr>
        <c:crossAx val="215808080"/>
        <c:crosses val="autoZero"/>
        <c:crossBetween val="between"/>
      </c:valAx>
    </c:plotArea>
    <c:legend>
      <c:legendPos val="r"/>
      <c:legendEntry>
        <c:idx val="0"/>
        <c:txPr>
          <a:bodyPr/>
          <a:lstStyle/>
          <a:p>
            <a:pPr>
              <a:defRPr sz="1400"/>
            </a:pPr>
            <a:endParaRPr lang="en-US"/>
          </a:p>
        </c:txPr>
      </c:legendEntry>
      <c:layout>
        <c:manualLayout>
          <c:xMode val="edge"/>
          <c:yMode val="edge"/>
          <c:x val="0.56016342784738116"/>
          <c:y val="0.50702882727894305"/>
          <c:w val="0.32570006335414969"/>
          <c:h val="0.16372718116117838"/>
        </c:manualLayout>
      </c:layout>
      <c:overlay val="0"/>
      <c:spPr>
        <a:solidFill>
          <a:sysClr val="window" lastClr="FFFFFF"/>
        </a:solidFill>
        <a:ln>
          <a:solidFill>
            <a:sysClr val="windowText" lastClr="000000"/>
          </a:solidFill>
        </a:ln>
        <a:effectLst>
          <a:outerShdw blurRad="50800" dist="50800" dir="5400000" algn="ctr" rotWithShape="0">
            <a:srgbClr val="000000"/>
          </a:outerShdw>
        </a:effectLst>
      </c:spPr>
      <c:txPr>
        <a:bodyPr/>
        <a:lstStyle/>
        <a:p>
          <a:pPr>
            <a:defRPr sz="1400"/>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landscape"/>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45134983127109"/>
          <c:y val="0.1020122986778733"/>
          <c:w val="0.88986829771278586"/>
          <c:h val="0.80696694118400158"/>
        </c:manualLayout>
      </c:layout>
      <c:barChart>
        <c:barDir val="col"/>
        <c:grouping val="clustered"/>
        <c:varyColors val="0"/>
        <c:ser>
          <c:idx val="0"/>
          <c:order val="0"/>
          <c:tx>
            <c:strRef>
              <c:f>'Ex 8 New Drill'!$B$6</c:f>
              <c:strCache>
                <c:ptCount val="1"/>
                <c:pt idx="0">
                  <c:v>New Drill Actual</c:v>
                </c:pt>
              </c:strCache>
            </c:strRef>
          </c:tx>
          <c:spPr>
            <a:solidFill>
              <a:schemeClr val="bg1"/>
            </a:solidFill>
            <a:ln>
              <a:solidFill>
                <a:schemeClr val="tx1"/>
              </a:solidFill>
            </a:ln>
          </c:spPr>
          <c:invertIfNegative val="0"/>
          <c:dLbls>
            <c:dLbl>
              <c:idx val="5"/>
              <c:layout>
                <c:manualLayout>
                  <c:x val="-9.852216748768473E-3"/>
                  <c:y val="5.6338028169012708E-3"/>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'Ex 8 New Drill'!$A$7:$A$15</c:f>
              <c:numCache>
                <c:formatCode>mmm\-yy</c:formatCode>
                <c:ptCount val="9"/>
                <c:pt idx="0">
                  <c:v>42522</c:v>
                </c:pt>
                <c:pt idx="1">
                  <c:v>42552</c:v>
                </c:pt>
                <c:pt idx="2">
                  <c:v>42583</c:v>
                </c:pt>
                <c:pt idx="3">
                  <c:v>42614</c:v>
                </c:pt>
                <c:pt idx="4">
                  <c:v>42644</c:v>
                </c:pt>
                <c:pt idx="5">
                  <c:v>42675</c:v>
                </c:pt>
                <c:pt idx="6">
                  <c:v>42705</c:v>
                </c:pt>
                <c:pt idx="7">
                  <c:v>42736</c:v>
                </c:pt>
                <c:pt idx="8">
                  <c:v>42767</c:v>
                </c:pt>
              </c:numCache>
            </c:numRef>
          </c:cat>
          <c:val>
            <c:numRef>
              <c:f>'Ex 8 New Drill'!$B$7:$B$15</c:f>
              <c:numCache>
                <c:formatCode>#,##0</c:formatCode>
                <c:ptCount val="9"/>
                <c:pt idx="0">
                  <c:v>0</c:v>
                </c:pt>
                <c:pt idx="1">
                  <c:v>0</c:v>
                </c:pt>
                <c:pt idx="2">
                  <c:v>0</c:v>
                </c:pt>
                <c:pt idx="3">
                  <c:v>254.13</c:v>
                </c:pt>
                <c:pt idx="4">
                  <c:v>425.10999999999996</c:v>
                </c:pt>
                <c:pt idx="5">
                  <c:v>354.40999999999997</c:v>
                </c:pt>
                <c:pt idx="6">
                  <c:v>311.52</c:v>
                </c:pt>
                <c:pt idx="7">
                  <c:v>278.99</c:v>
                </c:pt>
                <c:pt idx="8">
                  <c:v>228.64000000000001</c:v>
                </c:pt>
              </c:numCache>
            </c:numRef>
          </c:val>
        </c:ser>
        <c:ser>
          <c:idx val="1"/>
          <c:order val="1"/>
          <c:tx>
            <c:strRef>
              <c:f>'Ex 8 New Drill'!$C$6</c:f>
              <c:strCache>
                <c:ptCount val="1"/>
                <c:pt idx="0">
                  <c:v>New Drill IRP Forecast (Normal)</c:v>
                </c:pt>
              </c:strCache>
            </c:strRef>
          </c:tx>
          <c:spPr>
            <a:ln>
              <a:solidFill>
                <a:sysClr val="windowText" lastClr="00000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'Ex 8 New Drill'!$A$7:$A$15</c:f>
              <c:numCache>
                <c:formatCode>mmm\-yy</c:formatCode>
                <c:ptCount val="9"/>
                <c:pt idx="0">
                  <c:v>42522</c:v>
                </c:pt>
                <c:pt idx="1">
                  <c:v>42552</c:v>
                </c:pt>
                <c:pt idx="2">
                  <c:v>42583</c:v>
                </c:pt>
                <c:pt idx="3">
                  <c:v>42614</c:v>
                </c:pt>
                <c:pt idx="4">
                  <c:v>42644</c:v>
                </c:pt>
                <c:pt idx="5">
                  <c:v>42675</c:v>
                </c:pt>
                <c:pt idx="6">
                  <c:v>42705</c:v>
                </c:pt>
                <c:pt idx="7">
                  <c:v>42736</c:v>
                </c:pt>
                <c:pt idx="8">
                  <c:v>42767</c:v>
                </c:pt>
              </c:numCache>
            </c:numRef>
          </c:cat>
          <c:val>
            <c:numRef>
              <c:f>'Ex 8 New Drill'!$C$7:$C$15</c:f>
              <c:numCache>
                <c:formatCode>#,##0</c:formatCode>
                <c:ptCount val="9"/>
                <c:pt idx="0">
                  <c:v>72.49702262878418</c:v>
                </c:pt>
                <c:pt idx="1">
                  <c:v>170.4058141708374</c:v>
                </c:pt>
                <c:pt idx="2">
                  <c:v>155.39060497283936</c:v>
                </c:pt>
                <c:pt idx="3">
                  <c:v>133.56600284576416</c:v>
                </c:pt>
                <c:pt idx="4">
                  <c:v>168.41680240631104</c:v>
                </c:pt>
                <c:pt idx="5">
                  <c:v>332.00700187683105</c:v>
                </c:pt>
                <c:pt idx="6">
                  <c:v>695.85391235351562</c:v>
                </c:pt>
                <c:pt idx="7">
                  <c:v>670.20759153366089</c:v>
                </c:pt>
                <c:pt idx="8">
                  <c:v>557.75998115539551</c:v>
                </c:pt>
              </c:numCache>
            </c:numRef>
          </c:val>
        </c:ser>
        <c:ser>
          <c:idx val="2"/>
          <c:order val="2"/>
          <c:tx>
            <c:strRef>
              <c:f>'Ex 8 New Drill'!$D$6</c:f>
              <c:strCache>
                <c:ptCount val="1"/>
                <c:pt idx="0">
                  <c:v>Legacy Actual</c:v>
                </c:pt>
              </c:strCache>
            </c:strRef>
          </c:tx>
          <c:spPr>
            <a:solidFill>
              <a:srgbClr val="92D050"/>
            </a:solidFill>
            <a:ln>
              <a:solidFill>
                <a:sysClr val="windowText" lastClr="00000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'Ex 8 New Drill'!$A$7:$A$15</c:f>
              <c:numCache>
                <c:formatCode>mmm\-yy</c:formatCode>
                <c:ptCount val="9"/>
                <c:pt idx="0">
                  <c:v>42522</c:v>
                </c:pt>
                <c:pt idx="1">
                  <c:v>42552</c:v>
                </c:pt>
                <c:pt idx="2">
                  <c:v>42583</c:v>
                </c:pt>
                <c:pt idx="3">
                  <c:v>42614</c:v>
                </c:pt>
                <c:pt idx="4">
                  <c:v>42644</c:v>
                </c:pt>
                <c:pt idx="5">
                  <c:v>42675</c:v>
                </c:pt>
                <c:pt idx="6">
                  <c:v>42705</c:v>
                </c:pt>
                <c:pt idx="7">
                  <c:v>42736</c:v>
                </c:pt>
                <c:pt idx="8">
                  <c:v>42767</c:v>
                </c:pt>
              </c:numCache>
            </c:numRef>
          </c:cat>
          <c:val>
            <c:numRef>
              <c:f>'Ex 8 New Drill'!$D$7:$D$15</c:f>
              <c:numCache>
                <c:formatCode>#,##0</c:formatCode>
                <c:ptCount val="9"/>
                <c:pt idx="0">
                  <c:v>5738.9100000000008</c:v>
                </c:pt>
                <c:pt idx="1">
                  <c:v>5875.2499999999991</c:v>
                </c:pt>
                <c:pt idx="2">
                  <c:v>5626.69</c:v>
                </c:pt>
                <c:pt idx="3">
                  <c:v>5447.6000000000022</c:v>
                </c:pt>
                <c:pt idx="4">
                  <c:v>5474.47</c:v>
                </c:pt>
                <c:pt idx="5">
                  <c:v>5321.81</c:v>
                </c:pt>
                <c:pt idx="6">
                  <c:v>5400.8499999999985</c:v>
                </c:pt>
                <c:pt idx="7">
                  <c:v>5131.8200000000006</c:v>
                </c:pt>
                <c:pt idx="8">
                  <c:v>4718.8299999999972</c:v>
                </c:pt>
              </c:numCache>
            </c:numRef>
          </c:val>
        </c:ser>
        <c:ser>
          <c:idx val="3"/>
          <c:order val="3"/>
          <c:tx>
            <c:strRef>
              <c:f>'Ex 8 New Drill'!$E$6</c:f>
              <c:strCache>
                <c:ptCount val="1"/>
                <c:pt idx="0">
                  <c:v>Legacy IRP Forecast (Normal)</c:v>
                </c:pt>
              </c:strCache>
            </c:strRef>
          </c:tx>
          <c:spPr>
            <a:solidFill>
              <a:srgbClr val="7030A0"/>
            </a:solidFill>
            <a:ln>
              <a:solidFill>
                <a:sysClr val="windowText" lastClr="00000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'Ex 8 New Drill'!$A$7:$A$15</c:f>
              <c:numCache>
                <c:formatCode>mmm\-yy</c:formatCode>
                <c:ptCount val="9"/>
                <c:pt idx="0">
                  <c:v>42522</c:v>
                </c:pt>
                <c:pt idx="1">
                  <c:v>42552</c:v>
                </c:pt>
                <c:pt idx="2">
                  <c:v>42583</c:v>
                </c:pt>
                <c:pt idx="3">
                  <c:v>42614</c:v>
                </c:pt>
                <c:pt idx="4">
                  <c:v>42644</c:v>
                </c:pt>
                <c:pt idx="5">
                  <c:v>42675</c:v>
                </c:pt>
                <c:pt idx="6">
                  <c:v>42705</c:v>
                </c:pt>
                <c:pt idx="7">
                  <c:v>42736</c:v>
                </c:pt>
                <c:pt idx="8">
                  <c:v>42767</c:v>
                </c:pt>
              </c:numCache>
            </c:numRef>
          </c:cat>
          <c:val>
            <c:numRef>
              <c:f>'Ex 8 New Drill'!$E$7:$E$15</c:f>
              <c:numCache>
                <c:formatCode>#,##0</c:formatCode>
                <c:ptCount val="9"/>
                <c:pt idx="0">
                  <c:v>5271.8009235560894</c:v>
                </c:pt>
                <c:pt idx="1">
                  <c:v>5350.5279924869537</c:v>
                </c:pt>
                <c:pt idx="2">
                  <c:v>5285.9866446852684</c:v>
                </c:pt>
                <c:pt idx="3">
                  <c:v>5042.7420113533735</c:v>
                </c:pt>
                <c:pt idx="4">
                  <c:v>5139.2606212496758</c:v>
                </c:pt>
                <c:pt idx="5">
                  <c:v>4906.4249787032604</c:v>
                </c:pt>
                <c:pt idx="6">
                  <c:v>5003.7999368160963</c:v>
                </c:pt>
                <c:pt idx="7">
                  <c:v>4940.6343257576227</c:v>
                </c:pt>
                <c:pt idx="8">
                  <c:v>4407.8748453557491</c:v>
                </c:pt>
              </c:numCache>
            </c:numRef>
          </c:val>
        </c:ser>
        <c:dLbls>
          <c:showLegendKey val="0"/>
          <c:showVal val="0"/>
          <c:showCatName val="0"/>
          <c:showSerName val="0"/>
          <c:showPercent val="0"/>
          <c:showBubbleSize val="0"/>
        </c:dLbls>
        <c:gapWidth val="150"/>
        <c:axId val="215808864"/>
        <c:axId val="215809256"/>
      </c:barChart>
      <c:dateAx>
        <c:axId val="215808864"/>
        <c:scaling>
          <c:orientation val="minMax"/>
        </c:scaling>
        <c:delete val="0"/>
        <c:axPos val="b"/>
        <c:numFmt formatCode="mmm\-yy" sourceLinked="0"/>
        <c:majorTickMark val="out"/>
        <c:minorTickMark val="none"/>
        <c:tickLblPos val="nextTo"/>
        <c:txPr>
          <a:bodyPr/>
          <a:lstStyle/>
          <a:p>
            <a:pPr>
              <a:defRPr sz="1400"/>
            </a:pPr>
            <a:endParaRPr lang="en-US"/>
          </a:p>
        </c:txPr>
        <c:crossAx val="215809256"/>
        <c:crosses val="autoZero"/>
        <c:auto val="1"/>
        <c:lblOffset val="100"/>
        <c:baseTimeUnit val="months"/>
      </c:dateAx>
      <c:valAx>
        <c:axId val="215809256"/>
        <c:scaling>
          <c:orientation val="minMax"/>
        </c:scaling>
        <c:delete val="0"/>
        <c:axPos val="l"/>
        <c:majorGridlines/>
        <c:title>
          <c:tx>
            <c:rich>
              <a:bodyPr rot="-5400000" vert="horz"/>
              <a:lstStyle/>
              <a:p>
                <a:pPr>
                  <a:defRPr sz="1400"/>
                </a:pPr>
                <a:r>
                  <a:rPr lang="en-US" sz="1400"/>
                  <a:t>Mdth</a:t>
                </a:r>
              </a:p>
            </c:rich>
          </c:tx>
          <c:layout>
            <c:manualLayout>
              <c:xMode val="edge"/>
              <c:yMode val="edge"/>
              <c:x val="4.2622579154350014E-4"/>
              <c:y val="0.46619709463938869"/>
            </c:manualLayout>
          </c:layout>
          <c:overlay val="0"/>
        </c:title>
        <c:numFmt formatCode="#,##0" sourceLinked="1"/>
        <c:majorTickMark val="out"/>
        <c:minorTickMark val="none"/>
        <c:tickLblPos val="nextTo"/>
        <c:txPr>
          <a:bodyPr/>
          <a:lstStyle/>
          <a:p>
            <a:pPr>
              <a:defRPr sz="1400"/>
            </a:pPr>
            <a:endParaRPr lang="en-US"/>
          </a:p>
        </c:txPr>
        <c:crossAx val="215808864"/>
        <c:crosses val="autoZero"/>
        <c:crossBetween val="between"/>
      </c:valAx>
    </c:plotArea>
    <c:legend>
      <c:legendPos val="r"/>
      <c:legendEntry>
        <c:idx val="0"/>
        <c:txPr>
          <a:bodyPr/>
          <a:lstStyle/>
          <a:p>
            <a:pPr>
              <a:defRPr sz="1400"/>
            </a:pPr>
            <a:endParaRPr lang="en-US"/>
          </a:p>
        </c:txPr>
      </c:legendEntry>
      <c:layout>
        <c:manualLayout>
          <c:xMode val="edge"/>
          <c:yMode val="edge"/>
          <c:x val="0.53881695822504949"/>
          <c:y val="0.4796879967468855"/>
          <c:w val="0.35854078585004462"/>
          <c:h val="0.19094066762781414"/>
        </c:manualLayout>
      </c:layout>
      <c:overlay val="0"/>
      <c:spPr>
        <a:solidFill>
          <a:sysClr val="window" lastClr="FFFFFF"/>
        </a:solidFill>
        <a:ln>
          <a:solidFill>
            <a:sysClr val="windowText" lastClr="000000"/>
          </a:solidFill>
        </a:ln>
        <a:effectLst>
          <a:outerShdw blurRad="50800" dist="50800" dir="5400000" algn="ctr" rotWithShape="0">
            <a:srgbClr val="000000"/>
          </a:outerShdw>
        </a:effectLst>
      </c:spPr>
      <c:txPr>
        <a:bodyPr/>
        <a:lstStyle/>
        <a:p>
          <a:pPr>
            <a:defRPr sz="1400"/>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landscape"/>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659516698343741"/>
          <c:y val="0.10423579363564005"/>
          <c:w val="0.85028599873291699"/>
          <c:h val="0.81260112100823345"/>
        </c:manualLayout>
      </c:layout>
      <c:barChart>
        <c:barDir val="col"/>
        <c:grouping val="clustered"/>
        <c:varyColors val="0"/>
        <c:ser>
          <c:idx val="0"/>
          <c:order val="0"/>
          <c:tx>
            <c:strRef>
              <c:f>'Ex 8 New Drill'!$J$6</c:f>
              <c:strCache>
                <c:ptCount val="1"/>
                <c:pt idx="0">
                  <c:v>New Drill Actual</c:v>
                </c:pt>
              </c:strCache>
            </c:strRef>
          </c:tx>
          <c:spPr>
            <a:solidFill>
              <a:schemeClr val="bg1"/>
            </a:solidFill>
            <a:ln>
              <a:solidFill>
                <a:schemeClr val="tx1"/>
              </a:solidFill>
            </a:ln>
          </c:spPr>
          <c:invertIfNegative val="0"/>
          <c:dLbls>
            <c:dLbl>
              <c:idx val="3"/>
              <c:layout>
                <c:manualLayout>
                  <c:x val="-1.4778325123152709E-2"/>
                  <c:y val="1.8779342723003317E-3"/>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1.3136288998358024E-2"/>
                  <c:y val="0"/>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1.3136288998357963E-2"/>
                  <c:y val="9.3896713615022089E-3"/>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9.852216748768473E-3"/>
                  <c:y val="9.3896713615023476E-3"/>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1.1494252873563218E-2"/>
                  <c:y val="5.6338028169014088E-3"/>
                </c:manualLayout>
              </c:layout>
              <c:showLegendKey val="0"/>
              <c:showVal val="1"/>
              <c:showCatName val="0"/>
              <c:showSerName val="0"/>
              <c:showPercent val="0"/>
              <c:showBubbleSize val="0"/>
              <c:extLst>
                <c:ext xmlns:c15="http://schemas.microsoft.com/office/drawing/2012/chart" uri="{CE6537A1-D6FC-4f65-9D91-7224C49458BB}"/>
              </c:extLst>
            </c:dLbl>
            <c:dLbl>
              <c:idx val="8"/>
              <c:layout>
                <c:manualLayout>
                  <c:x val="-1.149425287356334E-2"/>
                  <c:y val="5.6338028169014088E-3"/>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'Ex 8 New Drill'!$A$7:$A$15</c:f>
              <c:numCache>
                <c:formatCode>mmm\-yy</c:formatCode>
                <c:ptCount val="9"/>
                <c:pt idx="0">
                  <c:v>42522</c:v>
                </c:pt>
                <c:pt idx="1">
                  <c:v>42552</c:v>
                </c:pt>
                <c:pt idx="2">
                  <c:v>42583</c:v>
                </c:pt>
                <c:pt idx="3">
                  <c:v>42614</c:v>
                </c:pt>
                <c:pt idx="4">
                  <c:v>42644</c:v>
                </c:pt>
                <c:pt idx="5">
                  <c:v>42675</c:v>
                </c:pt>
                <c:pt idx="6">
                  <c:v>42705</c:v>
                </c:pt>
                <c:pt idx="7">
                  <c:v>42736</c:v>
                </c:pt>
                <c:pt idx="8">
                  <c:v>42767</c:v>
                </c:pt>
              </c:numCache>
            </c:numRef>
          </c:cat>
          <c:val>
            <c:numRef>
              <c:f>'Ex 8 New Drill'!$J$7:$J$15</c:f>
              <c:numCache>
                <c:formatCode>#,##0</c:formatCode>
                <c:ptCount val="9"/>
                <c:pt idx="0">
                  <c:v>0</c:v>
                </c:pt>
                <c:pt idx="1">
                  <c:v>0</c:v>
                </c:pt>
                <c:pt idx="2">
                  <c:v>0</c:v>
                </c:pt>
                <c:pt idx="3">
                  <c:v>254.13</c:v>
                </c:pt>
                <c:pt idx="4">
                  <c:v>679.24</c:v>
                </c:pt>
                <c:pt idx="5">
                  <c:v>1033.6500000000001</c:v>
                </c:pt>
                <c:pt idx="6">
                  <c:v>1345.17</c:v>
                </c:pt>
                <c:pt idx="7">
                  <c:v>1624.16</c:v>
                </c:pt>
                <c:pt idx="8">
                  <c:v>1852.8000000000002</c:v>
                </c:pt>
              </c:numCache>
            </c:numRef>
          </c:val>
        </c:ser>
        <c:ser>
          <c:idx val="5"/>
          <c:order val="1"/>
          <c:tx>
            <c:strRef>
              <c:f>'Ex 8 New Drill'!$K$6</c:f>
              <c:strCache>
                <c:ptCount val="1"/>
                <c:pt idx="0">
                  <c:v>New Drill IRP Forecast (Normal)</c:v>
                </c:pt>
              </c:strCache>
            </c:strRef>
          </c:tx>
          <c:spPr>
            <a:solidFill>
              <a:srgbClr val="C00000"/>
            </a:solidFill>
            <a:ln>
              <a:solidFill>
                <a:sysClr val="windowText" lastClr="00000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'Ex 8 New Drill'!$A$7:$A$15</c:f>
              <c:numCache>
                <c:formatCode>mmm\-yy</c:formatCode>
                <c:ptCount val="9"/>
                <c:pt idx="0">
                  <c:v>42522</c:v>
                </c:pt>
                <c:pt idx="1">
                  <c:v>42552</c:v>
                </c:pt>
                <c:pt idx="2">
                  <c:v>42583</c:v>
                </c:pt>
                <c:pt idx="3">
                  <c:v>42614</c:v>
                </c:pt>
                <c:pt idx="4">
                  <c:v>42644</c:v>
                </c:pt>
                <c:pt idx="5">
                  <c:v>42675</c:v>
                </c:pt>
                <c:pt idx="6">
                  <c:v>42705</c:v>
                </c:pt>
                <c:pt idx="7">
                  <c:v>42736</c:v>
                </c:pt>
                <c:pt idx="8">
                  <c:v>42767</c:v>
                </c:pt>
              </c:numCache>
            </c:numRef>
          </c:cat>
          <c:val>
            <c:numRef>
              <c:f>'Ex 8 New Drill'!$K$7:$K$15</c:f>
              <c:numCache>
                <c:formatCode>#,##0</c:formatCode>
                <c:ptCount val="9"/>
                <c:pt idx="0">
                  <c:v>72.49702262878418</c:v>
                </c:pt>
                <c:pt idx="1">
                  <c:v>242.90283679962158</c:v>
                </c:pt>
                <c:pt idx="2">
                  <c:v>398.29344177246094</c:v>
                </c:pt>
                <c:pt idx="3">
                  <c:v>531.8594446182251</c:v>
                </c:pt>
                <c:pt idx="4">
                  <c:v>700.27624702453613</c:v>
                </c:pt>
                <c:pt idx="5">
                  <c:v>1032.2832489013672</c:v>
                </c:pt>
                <c:pt idx="6">
                  <c:v>1728.1371612548828</c:v>
                </c:pt>
                <c:pt idx="7">
                  <c:v>2398.3447527885437</c:v>
                </c:pt>
                <c:pt idx="8">
                  <c:v>2956.1047339439392</c:v>
                </c:pt>
              </c:numCache>
            </c:numRef>
          </c:val>
        </c:ser>
        <c:ser>
          <c:idx val="1"/>
          <c:order val="2"/>
          <c:tx>
            <c:strRef>
              <c:f>'Ex 8 New Drill'!$L$6</c:f>
              <c:strCache>
                <c:ptCount val="1"/>
                <c:pt idx="0">
                  <c:v>Legacy Actual</c:v>
                </c:pt>
              </c:strCache>
            </c:strRef>
          </c:tx>
          <c:spPr>
            <a:solidFill>
              <a:srgbClr val="92D050"/>
            </a:solidFill>
            <a:ln>
              <a:solidFill>
                <a:sysClr val="windowText" lastClr="00000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'Ex 8 New Drill'!$A$7:$A$15</c:f>
              <c:numCache>
                <c:formatCode>mmm\-yy</c:formatCode>
                <c:ptCount val="9"/>
                <c:pt idx="0">
                  <c:v>42522</c:v>
                </c:pt>
                <c:pt idx="1">
                  <c:v>42552</c:v>
                </c:pt>
                <c:pt idx="2">
                  <c:v>42583</c:v>
                </c:pt>
                <c:pt idx="3">
                  <c:v>42614</c:v>
                </c:pt>
                <c:pt idx="4">
                  <c:v>42644</c:v>
                </c:pt>
                <c:pt idx="5">
                  <c:v>42675</c:v>
                </c:pt>
                <c:pt idx="6">
                  <c:v>42705</c:v>
                </c:pt>
                <c:pt idx="7">
                  <c:v>42736</c:v>
                </c:pt>
                <c:pt idx="8">
                  <c:v>42767</c:v>
                </c:pt>
              </c:numCache>
            </c:numRef>
          </c:cat>
          <c:val>
            <c:numRef>
              <c:f>'Ex 8 New Drill'!$L$7:$L$15</c:f>
              <c:numCache>
                <c:formatCode>#,##0</c:formatCode>
                <c:ptCount val="9"/>
                <c:pt idx="0">
                  <c:v>5738.9100000000008</c:v>
                </c:pt>
                <c:pt idx="1">
                  <c:v>11614.16</c:v>
                </c:pt>
                <c:pt idx="2">
                  <c:v>17240.849999999999</c:v>
                </c:pt>
                <c:pt idx="3">
                  <c:v>22688.45</c:v>
                </c:pt>
                <c:pt idx="4">
                  <c:v>28162.920000000002</c:v>
                </c:pt>
                <c:pt idx="5">
                  <c:v>33484.730000000003</c:v>
                </c:pt>
                <c:pt idx="6">
                  <c:v>38885.58</c:v>
                </c:pt>
                <c:pt idx="7">
                  <c:v>44017.4</c:v>
                </c:pt>
                <c:pt idx="8">
                  <c:v>48736.229999999996</c:v>
                </c:pt>
              </c:numCache>
            </c:numRef>
          </c:val>
        </c:ser>
        <c:ser>
          <c:idx val="2"/>
          <c:order val="3"/>
          <c:tx>
            <c:strRef>
              <c:f>'Ex 8 New Drill'!$M$6</c:f>
              <c:strCache>
                <c:ptCount val="1"/>
                <c:pt idx="0">
                  <c:v>Legacy IRP Forecast (Normal)</c:v>
                </c:pt>
              </c:strCache>
            </c:strRef>
          </c:tx>
          <c:spPr>
            <a:solidFill>
              <a:srgbClr val="7030A0"/>
            </a:solidFill>
            <a:ln>
              <a:solidFill>
                <a:sysClr val="windowText" lastClr="000000"/>
              </a:solidFill>
            </a:ln>
          </c:spPr>
          <c:invertIfNegative val="0"/>
          <c:dLbls>
            <c:dLbl>
              <c:idx val="0"/>
              <c:layout>
                <c:manualLayout>
                  <c:x val="9.852216748768473E-3"/>
                  <c:y val="5.6338028169012708E-3"/>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'Ex 8 New Drill'!$A$7:$A$15</c:f>
              <c:numCache>
                <c:formatCode>mmm\-yy</c:formatCode>
                <c:ptCount val="9"/>
                <c:pt idx="0">
                  <c:v>42522</c:v>
                </c:pt>
                <c:pt idx="1">
                  <c:v>42552</c:v>
                </c:pt>
                <c:pt idx="2">
                  <c:v>42583</c:v>
                </c:pt>
                <c:pt idx="3">
                  <c:v>42614</c:v>
                </c:pt>
                <c:pt idx="4">
                  <c:v>42644</c:v>
                </c:pt>
                <c:pt idx="5">
                  <c:v>42675</c:v>
                </c:pt>
                <c:pt idx="6">
                  <c:v>42705</c:v>
                </c:pt>
                <c:pt idx="7">
                  <c:v>42736</c:v>
                </c:pt>
                <c:pt idx="8">
                  <c:v>42767</c:v>
                </c:pt>
              </c:numCache>
            </c:numRef>
          </c:cat>
          <c:val>
            <c:numRef>
              <c:f>'Ex 8 New Drill'!$M$7:$M$15</c:f>
              <c:numCache>
                <c:formatCode>#,##0</c:formatCode>
                <c:ptCount val="9"/>
                <c:pt idx="0">
                  <c:v>5271.8009235560894</c:v>
                </c:pt>
                <c:pt idx="1">
                  <c:v>10622.328916043043</c:v>
                </c:pt>
                <c:pt idx="2">
                  <c:v>15908.315560728312</c:v>
                </c:pt>
                <c:pt idx="3">
                  <c:v>20951.057572081685</c:v>
                </c:pt>
                <c:pt idx="4">
                  <c:v>26090.318193331361</c:v>
                </c:pt>
                <c:pt idx="5">
                  <c:v>30996.743172034621</c:v>
                </c:pt>
                <c:pt idx="6">
                  <c:v>36000.543108850718</c:v>
                </c:pt>
                <c:pt idx="7">
                  <c:v>40941.17743460834</c:v>
                </c:pt>
                <c:pt idx="8">
                  <c:v>45349.052279964089</c:v>
                </c:pt>
              </c:numCache>
            </c:numRef>
          </c:val>
        </c:ser>
        <c:dLbls>
          <c:showLegendKey val="0"/>
          <c:showVal val="0"/>
          <c:showCatName val="0"/>
          <c:showSerName val="0"/>
          <c:showPercent val="0"/>
          <c:showBubbleSize val="0"/>
        </c:dLbls>
        <c:gapWidth val="150"/>
        <c:axId val="215810040"/>
        <c:axId val="215810432"/>
      </c:barChart>
      <c:dateAx>
        <c:axId val="215810040"/>
        <c:scaling>
          <c:orientation val="minMax"/>
        </c:scaling>
        <c:delete val="0"/>
        <c:axPos val="b"/>
        <c:numFmt formatCode="mmm\-yy" sourceLinked="0"/>
        <c:majorTickMark val="out"/>
        <c:minorTickMark val="none"/>
        <c:tickLblPos val="nextTo"/>
        <c:txPr>
          <a:bodyPr/>
          <a:lstStyle/>
          <a:p>
            <a:pPr>
              <a:defRPr sz="1300" baseline="0"/>
            </a:pPr>
            <a:endParaRPr lang="en-US"/>
          </a:p>
        </c:txPr>
        <c:crossAx val="215810432"/>
        <c:crosses val="autoZero"/>
        <c:auto val="1"/>
        <c:lblOffset val="100"/>
        <c:baseTimeUnit val="months"/>
      </c:dateAx>
      <c:valAx>
        <c:axId val="215810432"/>
        <c:scaling>
          <c:orientation val="minMax"/>
        </c:scaling>
        <c:delete val="0"/>
        <c:axPos val="l"/>
        <c:majorGridlines/>
        <c:title>
          <c:tx>
            <c:rich>
              <a:bodyPr rot="-5400000" vert="horz"/>
              <a:lstStyle/>
              <a:p>
                <a:pPr>
                  <a:defRPr sz="1400"/>
                </a:pPr>
                <a:r>
                  <a:rPr lang="en-US" sz="1400"/>
                  <a:t>Mdth</a:t>
                </a:r>
              </a:p>
            </c:rich>
          </c:tx>
          <c:layout>
            <c:manualLayout>
              <c:xMode val="edge"/>
              <c:yMode val="edge"/>
              <c:x val="2.2905628175788367E-2"/>
              <c:y val="0.38649499094303352"/>
            </c:manualLayout>
          </c:layout>
          <c:overlay val="0"/>
        </c:title>
        <c:numFmt formatCode="#,##0" sourceLinked="1"/>
        <c:majorTickMark val="out"/>
        <c:minorTickMark val="none"/>
        <c:tickLblPos val="nextTo"/>
        <c:txPr>
          <a:bodyPr/>
          <a:lstStyle/>
          <a:p>
            <a:pPr>
              <a:defRPr sz="1400"/>
            </a:pPr>
            <a:endParaRPr lang="en-US"/>
          </a:p>
        </c:txPr>
        <c:crossAx val="215810040"/>
        <c:crosses val="autoZero"/>
        <c:crossBetween val="between"/>
      </c:valAx>
    </c:plotArea>
    <c:legend>
      <c:legendPos val="r"/>
      <c:legendEntry>
        <c:idx val="0"/>
        <c:txPr>
          <a:bodyPr/>
          <a:lstStyle/>
          <a:p>
            <a:pPr>
              <a:defRPr sz="1400"/>
            </a:pPr>
            <a:endParaRPr lang="en-US"/>
          </a:p>
        </c:txPr>
      </c:legendEntry>
      <c:layout>
        <c:manualLayout>
          <c:xMode val="edge"/>
          <c:yMode val="edge"/>
          <c:x val="0.24693236621284426"/>
          <c:y val="0.18239724963956971"/>
          <c:w val="0.36839300259881302"/>
          <c:h val="0.16840545636020848"/>
        </c:manualLayout>
      </c:layout>
      <c:overlay val="0"/>
      <c:spPr>
        <a:solidFill>
          <a:sysClr val="window" lastClr="FFFFFF"/>
        </a:solidFill>
        <a:ln>
          <a:solidFill>
            <a:sysClr val="windowText" lastClr="000000"/>
          </a:solidFill>
        </a:ln>
        <a:effectLst>
          <a:outerShdw blurRad="50800" dist="50800" dir="5400000" algn="ctr" rotWithShape="0">
            <a:srgbClr val="000000"/>
          </a:outerShdw>
        </a:effectLst>
      </c:spPr>
      <c:txPr>
        <a:bodyPr/>
        <a:lstStyle/>
        <a:p>
          <a:pPr>
            <a:defRPr sz="1400"/>
          </a:pPr>
          <a:endParaRPr lang="en-US"/>
        </a:p>
      </c:txPr>
    </c:legend>
    <c:plotVisOnly val="1"/>
    <c:dispBlanksAs val="gap"/>
    <c:showDLblsOverMax val="0"/>
  </c:chart>
  <c:spPr>
    <a:ln>
      <a:noFill/>
    </a:ln>
  </c:spPr>
  <c:printSettings>
    <c:headerFooter/>
    <c:pageMargins b="0.75000000000001354" l="0.70000000000000062" r="0.70000000000000062" t="0.75000000000001354" header="0.30000000000000032" footer="0.30000000000000032"/>
    <c:pageSetup orientation="landscape"/>
  </c:printSettings>
  <c:userShapes r:id="rId2"/>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528262670869872"/>
          <c:y val="9.8522320943833522E-2"/>
          <c:w val="0.8787981131988456"/>
          <c:h val="0.79969147936393825"/>
        </c:manualLayout>
      </c:layout>
      <c:barChart>
        <c:barDir val="col"/>
        <c:grouping val="clustered"/>
        <c:varyColors val="0"/>
        <c:ser>
          <c:idx val="0"/>
          <c:order val="0"/>
          <c:tx>
            <c:strRef>
              <c:f>'Ex 2 Clay Basin'!$H$7</c:f>
              <c:strCache>
                <c:ptCount val="1"/>
                <c:pt idx="0">
                  <c:v>Actual</c:v>
                </c:pt>
              </c:strCache>
            </c:strRef>
          </c:tx>
          <c:spPr>
            <a:solidFill>
              <a:schemeClr val="bg1"/>
            </a:solidFill>
            <a:ln>
              <a:solidFill>
                <a:schemeClr val="tx1"/>
              </a:solidFill>
            </a:ln>
          </c:spPr>
          <c:invertIfNegative val="0"/>
          <c:cat>
            <c:numRef>
              <c:f>'Ex 2 Clay Basin'!$A$8:$A$10</c:f>
              <c:numCache>
                <c:formatCode>mmm\-yy</c:formatCode>
                <c:ptCount val="3"/>
                <c:pt idx="0">
                  <c:v>42522</c:v>
                </c:pt>
                <c:pt idx="1">
                  <c:v>42552</c:v>
                </c:pt>
                <c:pt idx="2">
                  <c:v>42583</c:v>
                </c:pt>
              </c:numCache>
            </c:numRef>
          </c:cat>
          <c:val>
            <c:numRef>
              <c:f>'Ex 2 Clay Basin'!$H$8:$H$10</c:f>
              <c:numCache>
                <c:formatCode>#,##0</c:formatCode>
                <c:ptCount val="3"/>
                <c:pt idx="0">
                  <c:v>4058.0940000000001</c:v>
                </c:pt>
                <c:pt idx="1">
                  <c:v>10934.555</c:v>
                </c:pt>
                <c:pt idx="2">
                  <c:v>20422.248</c:v>
                </c:pt>
              </c:numCache>
            </c:numRef>
          </c:val>
        </c:ser>
        <c:ser>
          <c:idx val="1"/>
          <c:order val="1"/>
          <c:tx>
            <c:strRef>
              <c:f>'Ex 2 Clay Basin'!$I$7</c:f>
              <c:strCache>
                <c:ptCount val="1"/>
                <c:pt idx="0">
                  <c:v>IRP Forecast (Normal)</c:v>
                </c:pt>
              </c:strCache>
            </c:strRef>
          </c:tx>
          <c:spPr>
            <a:ln>
              <a:solidFill>
                <a:sysClr val="windowText" lastClr="000000"/>
              </a:solidFill>
            </a:ln>
          </c:spPr>
          <c:invertIfNegative val="0"/>
          <c:cat>
            <c:numRef>
              <c:f>'Ex 2 Clay Basin'!$A$8:$A$10</c:f>
              <c:numCache>
                <c:formatCode>mmm\-yy</c:formatCode>
                <c:ptCount val="3"/>
                <c:pt idx="0">
                  <c:v>42522</c:v>
                </c:pt>
                <c:pt idx="1">
                  <c:v>42552</c:v>
                </c:pt>
                <c:pt idx="2">
                  <c:v>42583</c:v>
                </c:pt>
              </c:numCache>
            </c:numRef>
          </c:cat>
          <c:val>
            <c:numRef>
              <c:f>'Ex 2 Clay Basin'!$I$8:$I$10</c:f>
              <c:numCache>
                <c:formatCode>#,##0</c:formatCode>
                <c:ptCount val="3"/>
                <c:pt idx="0">
                  <c:v>4078</c:v>
                </c:pt>
                <c:pt idx="1">
                  <c:v>10822</c:v>
                </c:pt>
                <c:pt idx="2">
                  <c:v>20232</c:v>
                </c:pt>
              </c:numCache>
            </c:numRef>
          </c:val>
        </c:ser>
        <c:dLbls>
          <c:showLegendKey val="0"/>
          <c:showVal val="0"/>
          <c:showCatName val="0"/>
          <c:showSerName val="0"/>
          <c:showPercent val="0"/>
          <c:showBubbleSize val="0"/>
        </c:dLbls>
        <c:gapWidth val="150"/>
        <c:axId val="214992344"/>
        <c:axId val="214992736"/>
      </c:barChart>
      <c:dateAx>
        <c:axId val="214992344"/>
        <c:scaling>
          <c:orientation val="minMax"/>
        </c:scaling>
        <c:delete val="0"/>
        <c:axPos val="b"/>
        <c:numFmt formatCode="mmm\-yy" sourceLinked="0"/>
        <c:majorTickMark val="out"/>
        <c:minorTickMark val="none"/>
        <c:tickLblPos val="nextTo"/>
        <c:txPr>
          <a:bodyPr/>
          <a:lstStyle/>
          <a:p>
            <a:pPr>
              <a:defRPr sz="1400"/>
            </a:pPr>
            <a:endParaRPr lang="en-US"/>
          </a:p>
        </c:txPr>
        <c:crossAx val="214992736"/>
        <c:crosses val="autoZero"/>
        <c:auto val="1"/>
        <c:lblOffset val="100"/>
        <c:baseTimeUnit val="months"/>
      </c:dateAx>
      <c:valAx>
        <c:axId val="214992736"/>
        <c:scaling>
          <c:orientation val="minMax"/>
        </c:scaling>
        <c:delete val="0"/>
        <c:axPos val="l"/>
        <c:majorGridlines/>
        <c:title>
          <c:tx>
            <c:rich>
              <a:bodyPr rot="-5400000" vert="horz"/>
              <a:lstStyle/>
              <a:p>
                <a:pPr>
                  <a:defRPr sz="1400"/>
                </a:pPr>
                <a:r>
                  <a:rPr lang="en-US" sz="1400"/>
                  <a:t>Mdth</a:t>
                </a:r>
              </a:p>
            </c:rich>
          </c:tx>
          <c:layout>
            <c:manualLayout>
              <c:xMode val="edge"/>
              <c:yMode val="edge"/>
              <c:x val="4.2617314345143136E-4"/>
              <c:y val="0.46619723107130673"/>
            </c:manualLayout>
          </c:layout>
          <c:overlay val="0"/>
        </c:title>
        <c:numFmt formatCode="#,##0" sourceLinked="1"/>
        <c:majorTickMark val="out"/>
        <c:minorTickMark val="none"/>
        <c:tickLblPos val="nextTo"/>
        <c:txPr>
          <a:bodyPr/>
          <a:lstStyle/>
          <a:p>
            <a:pPr>
              <a:defRPr sz="1400"/>
            </a:pPr>
            <a:endParaRPr lang="en-US"/>
          </a:p>
        </c:txPr>
        <c:crossAx val="214992344"/>
        <c:crosses val="autoZero"/>
        <c:crossBetween val="between"/>
      </c:valAx>
    </c:plotArea>
    <c:legend>
      <c:legendPos val="r"/>
      <c:layout>
        <c:manualLayout>
          <c:xMode val="edge"/>
          <c:yMode val="edge"/>
          <c:x val="0.28179541546040565"/>
          <c:y val="0.2733441914625151"/>
          <c:w val="0.10473916252785159"/>
          <c:h val="0.1307787525132825"/>
        </c:manualLayout>
      </c:layout>
      <c:overlay val="0"/>
      <c:spPr>
        <a:solidFill>
          <a:sysClr val="window" lastClr="FFFFFF"/>
        </a:solidFill>
        <a:ln>
          <a:solidFill>
            <a:sysClr val="windowText" lastClr="000000"/>
          </a:solidFill>
        </a:ln>
        <a:effectLst>
          <a:outerShdw blurRad="50800" dist="50800" dir="5400000" algn="ctr" rotWithShape="0">
            <a:srgbClr val="000000"/>
          </a:outerShdw>
        </a:effectLst>
      </c:spPr>
      <c:txPr>
        <a:bodyPr/>
        <a:lstStyle/>
        <a:p>
          <a:pPr>
            <a:defRPr sz="1400"/>
          </a:pPr>
          <a:endParaRPr lang="en-US"/>
        </a:p>
      </c:txPr>
    </c:legend>
    <c:plotVisOnly val="1"/>
    <c:dispBlanksAs val="gap"/>
    <c:showDLblsOverMax val="0"/>
  </c:chart>
  <c:spPr>
    <a:ln>
      <a:noFill/>
    </a:ln>
  </c:spPr>
  <c:printSettings>
    <c:headerFooter/>
    <c:pageMargins b="0.75000000000001354" l="0.70000000000000062" r="0.70000000000000062" t="0.75000000000001354" header="0.30000000000000032" footer="0.30000000000000032"/>
    <c:pageSetup orientation="landscape"/>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528260958845322"/>
          <c:y val="0.10774523971020718"/>
          <c:w val="0.87879811319884604"/>
          <c:h val="0.78361763475217772"/>
        </c:manualLayout>
      </c:layout>
      <c:barChart>
        <c:barDir val="col"/>
        <c:grouping val="clustered"/>
        <c:varyColors val="0"/>
        <c:ser>
          <c:idx val="0"/>
          <c:order val="0"/>
          <c:tx>
            <c:strRef>
              <c:f>'Ex 2 Aquifers'!$E$6</c:f>
              <c:strCache>
                <c:ptCount val="1"/>
                <c:pt idx="0">
                  <c:v>Actual</c:v>
                </c:pt>
              </c:strCache>
            </c:strRef>
          </c:tx>
          <c:spPr>
            <a:solidFill>
              <a:schemeClr val="bg1"/>
            </a:solidFill>
            <a:ln>
              <a:solidFill>
                <a:schemeClr val="tx1"/>
              </a:solidFill>
            </a:ln>
          </c:spPr>
          <c:invertIfNegative val="0"/>
          <c:cat>
            <c:numRef>
              <c:f>'Ex 2 Aquifers'!$A$7:$A$9</c:f>
              <c:numCache>
                <c:formatCode>mmm\-yy</c:formatCode>
                <c:ptCount val="3"/>
                <c:pt idx="0">
                  <c:v>42522</c:v>
                </c:pt>
                <c:pt idx="1">
                  <c:v>42552</c:v>
                </c:pt>
                <c:pt idx="2">
                  <c:v>42583</c:v>
                </c:pt>
              </c:numCache>
            </c:numRef>
          </c:cat>
          <c:val>
            <c:numRef>
              <c:f>'Ex 2 Aquifers'!$E$7:$E$9</c:f>
              <c:numCache>
                <c:formatCode>#,##0</c:formatCode>
                <c:ptCount val="3"/>
                <c:pt idx="0">
                  <c:v>779.63199999999995</c:v>
                </c:pt>
                <c:pt idx="1">
                  <c:v>1548.327</c:v>
                </c:pt>
                <c:pt idx="2">
                  <c:v>2316.877</c:v>
                </c:pt>
              </c:numCache>
            </c:numRef>
          </c:val>
        </c:ser>
        <c:ser>
          <c:idx val="1"/>
          <c:order val="1"/>
          <c:tx>
            <c:strRef>
              <c:f>'Ex 2 Aquifers'!$F$6</c:f>
              <c:strCache>
                <c:ptCount val="1"/>
                <c:pt idx="0">
                  <c:v>IRP Forecast (Normal)</c:v>
                </c:pt>
              </c:strCache>
            </c:strRef>
          </c:tx>
          <c:spPr>
            <a:ln>
              <a:solidFill>
                <a:sysClr val="windowText" lastClr="000000"/>
              </a:solidFill>
            </a:ln>
          </c:spPr>
          <c:invertIfNegative val="0"/>
          <c:cat>
            <c:numRef>
              <c:f>'Ex 2 Aquifers'!$A$7:$A$9</c:f>
              <c:numCache>
                <c:formatCode>mmm\-yy</c:formatCode>
                <c:ptCount val="3"/>
                <c:pt idx="0">
                  <c:v>42522</c:v>
                </c:pt>
                <c:pt idx="1">
                  <c:v>42552</c:v>
                </c:pt>
                <c:pt idx="2">
                  <c:v>42583</c:v>
                </c:pt>
              </c:numCache>
            </c:numRef>
          </c:cat>
          <c:val>
            <c:numRef>
              <c:f>'Ex 2 Aquifers'!$F$7:$F$9</c:f>
              <c:numCache>
                <c:formatCode>#,##0</c:formatCode>
                <c:ptCount val="3"/>
                <c:pt idx="0">
                  <c:v>743.63</c:v>
                </c:pt>
                <c:pt idx="1">
                  <c:v>1487.26</c:v>
                </c:pt>
                <c:pt idx="2">
                  <c:v>2230.89</c:v>
                </c:pt>
              </c:numCache>
            </c:numRef>
          </c:val>
        </c:ser>
        <c:dLbls>
          <c:showLegendKey val="0"/>
          <c:showVal val="0"/>
          <c:showCatName val="0"/>
          <c:showSerName val="0"/>
          <c:showPercent val="0"/>
          <c:showBubbleSize val="0"/>
        </c:dLbls>
        <c:gapWidth val="150"/>
        <c:axId val="214993520"/>
        <c:axId val="214993912"/>
      </c:barChart>
      <c:dateAx>
        <c:axId val="214993520"/>
        <c:scaling>
          <c:orientation val="minMax"/>
        </c:scaling>
        <c:delete val="0"/>
        <c:axPos val="b"/>
        <c:numFmt formatCode="mmm\-yy" sourceLinked="0"/>
        <c:majorTickMark val="out"/>
        <c:minorTickMark val="none"/>
        <c:tickLblPos val="nextTo"/>
        <c:txPr>
          <a:bodyPr/>
          <a:lstStyle/>
          <a:p>
            <a:pPr>
              <a:defRPr sz="1400"/>
            </a:pPr>
            <a:endParaRPr lang="en-US"/>
          </a:p>
        </c:txPr>
        <c:crossAx val="214993912"/>
        <c:crosses val="autoZero"/>
        <c:auto val="1"/>
        <c:lblOffset val="100"/>
        <c:baseTimeUnit val="months"/>
      </c:dateAx>
      <c:valAx>
        <c:axId val="214993912"/>
        <c:scaling>
          <c:orientation val="minMax"/>
        </c:scaling>
        <c:delete val="0"/>
        <c:axPos val="l"/>
        <c:majorGridlines/>
        <c:title>
          <c:tx>
            <c:rich>
              <a:bodyPr rot="-5400000" vert="horz"/>
              <a:lstStyle/>
              <a:p>
                <a:pPr>
                  <a:defRPr sz="1400"/>
                </a:pPr>
                <a:r>
                  <a:rPr lang="en-US" sz="1400"/>
                  <a:t>Mdth</a:t>
                </a:r>
              </a:p>
            </c:rich>
          </c:tx>
          <c:layout>
            <c:manualLayout>
              <c:xMode val="edge"/>
              <c:yMode val="edge"/>
              <c:x val="4.2622474881224973E-4"/>
              <c:y val="0.4661970547094787"/>
            </c:manualLayout>
          </c:layout>
          <c:overlay val="0"/>
        </c:title>
        <c:numFmt formatCode="#,##0" sourceLinked="1"/>
        <c:majorTickMark val="out"/>
        <c:minorTickMark val="none"/>
        <c:tickLblPos val="nextTo"/>
        <c:txPr>
          <a:bodyPr/>
          <a:lstStyle/>
          <a:p>
            <a:pPr>
              <a:defRPr sz="1400"/>
            </a:pPr>
            <a:endParaRPr lang="en-US"/>
          </a:p>
        </c:txPr>
        <c:crossAx val="214993520"/>
        <c:crosses val="autoZero"/>
        <c:crossBetween val="between"/>
      </c:valAx>
    </c:plotArea>
    <c:legend>
      <c:legendPos val="r"/>
      <c:layout>
        <c:manualLayout>
          <c:xMode val="edge"/>
          <c:yMode val="edge"/>
          <c:x val="0.3599851311689487"/>
          <c:y val="0.304658830689642"/>
          <c:w val="0.10145507673609765"/>
          <c:h val="0.16378150557267299"/>
        </c:manualLayout>
      </c:layout>
      <c:overlay val="0"/>
      <c:spPr>
        <a:solidFill>
          <a:sysClr val="window" lastClr="FFFFFF"/>
        </a:solidFill>
        <a:ln>
          <a:solidFill>
            <a:sysClr val="windowText" lastClr="000000"/>
          </a:solidFill>
        </a:ln>
        <a:effectLst>
          <a:outerShdw blurRad="50800" dist="50800" dir="5400000" algn="ctr" rotWithShape="0">
            <a:srgbClr val="000000"/>
          </a:outerShdw>
        </a:effectLst>
      </c:spPr>
      <c:txPr>
        <a:bodyPr/>
        <a:lstStyle/>
        <a:p>
          <a:pPr>
            <a:defRPr sz="1400"/>
          </a:pPr>
          <a:endParaRPr lang="en-US"/>
        </a:p>
      </c:txPr>
    </c:legend>
    <c:plotVisOnly val="1"/>
    <c:dispBlanksAs val="gap"/>
    <c:showDLblsOverMax val="0"/>
  </c:chart>
  <c:spPr>
    <a:ln>
      <a:noFill/>
    </a:ln>
  </c:spPr>
  <c:printSettings>
    <c:headerFooter/>
    <c:pageMargins b="0.75000000000001377" l="0.70000000000000062" r="0.70000000000000062" t="0.75000000000001377" header="0.30000000000000032" footer="0.30000000000000032"/>
    <c:pageSetup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95956446038304"/>
          <c:y val="0.10873015514894449"/>
          <c:w val="0.88189640451570062"/>
          <c:h val="0.77006076295257664"/>
        </c:manualLayout>
      </c:layout>
      <c:barChart>
        <c:barDir val="col"/>
        <c:grouping val="clustered"/>
        <c:varyColors val="0"/>
        <c:ser>
          <c:idx val="0"/>
          <c:order val="0"/>
          <c:tx>
            <c:strRef>
              <c:f>'Ex 1 HDD'!$F$7</c:f>
              <c:strCache>
                <c:ptCount val="1"/>
                <c:pt idx="0">
                  <c:v>Actual</c:v>
                </c:pt>
              </c:strCache>
            </c:strRef>
          </c:tx>
          <c:spPr>
            <a:solidFill>
              <a:schemeClr val="bg1"/>
            </a:solidFill>
            <a:ln>
              <a:solidFill>
                <a:schemeClr val="tx1"/>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'Ex 1 HDD'!$A$8:$A$16</c:f>
              <c:numCache>
                <c:formatCode>mmm\-yy</c:formatCode>
                <c:ptCount val="9"/>
                <c:pt idx="0">
                  <c:v>42522</c:v>
                </c:pt>
                <c:pt idx="1">
                  <c:v>42552</c:v>
                </c:pt>
                <c:pt idx="2">
                  <c:v>42583</c:v>
                </c:pt>
                <c:pt idx="3">
                  <c:v>42614</c:v>
                </c:pt>
                <c:pt idx="4">
                  <c:v>42644</c:v>
                </c:pt>
                <c:pt idx="5">
                  <c:v>42675</c:v>
                </c:pt>
                <c:pt idx="6">
                  <c:v>42705</c:v>
                </c:pt>
                <c:pt idx="7">
                  <c:v>42736</c:v>
                </c:pt>
                <c:pt idx="8">
                  <c:v>42767</c:v>
                </c:pt>
              </c:numCache>
            </c:numRef>
          </c:cat>
          <c:val>
            <c:numRef>
              <c:f>'Ex 1 HDD'!$F$8:$F$16</c:f>
              <c:numCache>
                <c:formatCode>General</c:formatCode>
                <c:ptCount val="9"/>
                <c:pt idx="0">
                  <c:v>0</c:v>
                </c:pt>
                <c:pt idx="1">
                  <c:v>0</c:v>
                </c:pt>
                <c:pt idx="2">
                  <c:v>0</c:v>
                </c:pt>
                <c:pt idx="3">
                  <c:v>51</c:v>
                </c:pt>
                <c:pt idx="4">
                  <c:v>268</c:v>
                </c:pt>
                <c:pt idx="5">
                  <c:v>798</c:v>
                </c:pt>
                <c:pt idx="6">
                  <c:v>1888</c:v>
                </c:pt>
                <c:pt idx="7">
                  <c:v>3055</c:v>
                </c:pt>
                <c:pt idx="8">
                  <c:v>3749</c:v>
                </c:pt>
              </c:numCache>
            </c:numRef>
          </c:val>
        </c:ser>
        <c:ser>
          <c:idx val="1"/>
          <c:order val="1"/>
          <c:tx>
            <c:strRef>
              <c:f>'Ex 1 HDD'!$G$7</c:f>
              <c:strCache>
                <c:ptCount val="1"/>
                <c:pt idx="0">
                  <c:v>IRP Forecast (Normal)</c:v>
                </c:pt>
              </c:strCache>
            </c:strRef>
          </c:tx>
          <c:spPr>
            <a:ln>
              <a:solidFill>
                <a:sysClr val="windowText" lastClr="00000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'Ex 1 HDD'!$A$8:$A$16</c:f>
              <c:numCache>
                <c:formatCode>mmm\-yy</c:formatCode>
                <c:ptCount val="9"/>
                <c:pt idx="0">
                  <c:v>42522</c:v>
                </c:pt>
                <c:pt idx="1">
                  <c:v>42552</c:v>
                </c:pt>
                <c:pt idx="2">
                  <c:v>42583</c:v>
                </c:pt>
                <c:pt idx="3">
                  <c:v>42614</c:v>
                </c:pt>
                <c:pt idx="4">
                  <c:v>42644</c:v>
                </c:pt>
                <c:pt idx="5">
                  <c:v>42675</c:v>
                </c:pt>
                <c:pt idx="6">
                  <c:v>42705</c:v>
                </c:pt>
                <c:pt idx="7">
                  <c:v>42736</c:v>
                </c:pt>
                <c:pt idx="8">
                  <c:v>42767</c:v>
                </c:pt>
              </c:numCache>
            </c:numRef>
          </c:cat>
          <c:val>
            <c:numRef>
              <c:f>'Ex 1 HDD'!$G$8:$G$16</c:f>
              <c:numCache>
                <c:formatCode>0</c:formatCode>
                <c:ptCount val="9"/>
                <c:pt idx="0">
                  <c:v>46.17</c:v>
                </c:pt>
                <c:pt idx="1">
                  <c:v>48.25</c:v>
                </c:pt>
                <c:pt idx="2">
                  <c:v>50.55</c:v>
                </c:pt>
                <c:pt idx="3">
                  <c:v>130.38</c:v>
                </c:pt>
                <c:pt idx="4">
                  <c:v>504.5</c:v>
                </c:pt>
                <c:pt idx="5">
                  <c:v>1248.6799999999998</c:v>
                </c:pt>
                <c:pt idx="6">
                  <c:v>2319</c:v>
                </c:pt>
                <c:pt idx="7">
                  <c:v>3415.15</c:v>
                </c:pt>
                <c:pt idx="8">
                  <c:v>4280.78</c:v>
                </c:pt>
              </c:numCache>
            </c:numRef>
          </c:val>
        </c:ser>
        <c:dLbls>
          <c:showLegendKey val="0"/>
          <c:showVal val="0"/>
          <c:showCatName val="0"/>
          <c:showSerName val="0"/>
          <c:showPercent val="0"/>
          <c:showBubbleSize val="0"/>
        </c:dLbls>
        <c:gapWidth val="150"/>
        <c:axId val="213428608"/>
        <c:axId val="212748632"/>
      </c:barChart>
      <c:dateAx>
        <c:axId val="213428608"/>
        <c:scaling>
          <c:orientation val="minMax"/>
        </c:scaling>
        <c:delete val="0"/>
        <c:axPos val="b"/>
        <c:numFmt formatCode="mmm\-yy" sourceLinked="0"/>
        <c:majorTickMark val="out"/>
        <c:minorTickMark val="none"/>
        <c:tickLblPos val="nextTo"/>
        <c:txPr>
          <a:bodyPr/>
          <a:lstStyle/>
          <a:p>
            <a:pPr>
              <a:defRPr sz="1400"/>
            </a:pPr>
            <a:endParaRPr lang="en-US"/>
          </a:p>
        </c:txPr>
        <c:crossAx val="212748632"/>
        <c:crosses val="autoZero"/>
        <c:auto val="1"/>
        <c:lblOffset val="100"/>
        <c:baseTimeUnit val="months"/>
      </c:dateAx>
      <c:valAx>
        <c:axId val="212748632"/>
        <c:scaling>
          <c:orientation val="minMax"/>
        </c:scaling>
        <c:delete val="0"/>
        <c:axPos val="l"/>
        <c:majorGridlines/>
        <c:title>
          <c:tx>
            <c:rich>
              <a:bodyPr rot="-5400000" vert="horz"/>
              <a:lstStyle/>
              <a:p>
                <a:pPr>
                  <a:defRPr sz="1400"/>
                </a:pPr>
                <a:r>
                  <a:rPr lang="en-US" sz="1400"/>
                  <a:t>Degree Days</a:t>
                </a:r>
              </a:p>
            </c:rich>
          </c:tx>
          <c:overlay val="0"/>
        </c:title>
        <c:numFmt formatCode="General" sourceLinked="1"/>
        <c:majorTickMark val="out"/>
        <c:minorTickMark val="none"/>
        <c:tickLblPos val="nextTo"/>
        <c:txPr>
          <a:bodyPr/>
          <a:lstStyle/>
          <a:p>
            <a:pPr>
              <a:defRPr sz="1400"/>
            </a:pPr>
            <a:endParaRPr lang="en-US"/>
          </a:p>
        </c:txPr>
        <c:crossAx val="213428608"/>
        <c:crosses val="autoZero"/>
        <c:crossBetween val="between"/>
      </c:valAx>
    </c:plotArea>
    <c:legend>
      <c:legendPos val="r"/>
      <c:layout>
        <c:manualLayout>
          <c:xMode val="edge"/>
          <c:yMode val="edge"/>
          <c:x val="0.26725539876822324"/>
          <c:y val="0.29995984026352002"/>
          <c:w val="0.15146228008627632"/>
          <c:h val="0.16190435364633862"/>
        </c:manualLayout>
      </c:layout>
      <c:overlay val="0"/>
      <c:spPr>
        <a:solidFill>
          <a:sysClr val="window" lastClr="FFFFFF"/>
        </a:solidFill>
        <a:ln>
          <a:solidFill>
            <a:sysClr val="windowText" lastClr="000000"/>
          </a:solidFill>
        </a:ln>
        <a:effectLst>
          <a:outerShdw blurRad="50800" dist="50800" dir="5400000" algn="ctr" rotWithShape="0">
            <a:srgbClr val="000000"/>
          </a:outerShdw>
        </a:effectLst>
      </c:spPr>
      <c:txPr>
        <a:bodyPr/>
        <a:lstStyle/>
        <a:p>
          <a:pPr>
            <a:defRPr sz="1400"/>
          </a:pPr>
          <a:endParaRPr lang="en-US"/>
        </a:p>
      </c:txPr>
    </c:legend>
    <c:plotVisOnly val="1"/>
    <c:dispBlanksAs val="gap"/>
    <c:showDLblsOverMax val="0"/>
  </c:chart>
  <c:spPr>
    <a:ln>
      <a:noFill/>
    </a:ln>
  </c:spPr>
  <c:printSettings>
    <c:headerFooter/>
    <c:pageMargins b="0.75000000000001354" l="0.70000000000000062" r="0.70000000000000062" t="0.75000000000001354" header="0.30000000000000032" footer="0.30000000000000032"/>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022086128122873"/>
          <c:y val="0.12129269758776597"/>
          <c:w val="0.8787981131988456"/>
          <c:h val="0.80729959327603162"/>
        </c:manualLayout>
      </c:layout>
      <c:barChart>
        <c:barDir val="col"/>
        <c:grouping val="clustered"/>
        <c:varyColors val="0"/>
        <c:ser>
          <c:idx val="0"/>
          <c:order val="0"/>
          <c:tx>
            <c:strRef>
              <c:f>'Ex 2 Clay Basin'!$B$7</c:f>
              <c:strCache>
                <c:ptCount val="1"/>
                <c:pt idx="0">
                  <c:v>Actual</c:v>
                </c:pt>
              </c:strCache>
            </c:strRef>
          </c:tx>
          <c:spPr>
            <a:solidFill>
              <a:schemeClr val="bg1"/>
            </a:solidFill>
            <a:ln>
              <a:solidFill>
                <a:schemeClr val="tx1"/>
              </a:solidFill>
            </a:ln>
          </c:spPr>
          <c:invertIfNegative val="0"/>
          <c:dLbls>
            <c:dLbl>
              <c:idx val="0"/>
              <c:layout>
                <c:manualLayout>
                  <c:x val="0"/>
                  <c:y val="-1.7762644534298079E-2"/>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1.6460905349794841E-3"/>
                  <c:y val="-1.4571521376328705E-2"/>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1.2961342795113573E-7"/>
                  <c:y val="-4.5628222503481513E-3"/>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4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'Ex 2 Clay Basin'!$A$14:$A$16</c:f>
              <c:numCache>
                <c:formatCode>mmm\-yy</c:formatCode>
                <c:ptCount val="3"/>
                <c:pt idx="0">
                  <c:v>42705</c:v>
                </c:pt>
                <c:pt idx="1">
                  <c:v>42736</c:v>
                </c:pt>
                <c:pt idx="2">
                  <c:v>42767</c:v>
                </c:pt>
              </c:numCache>
            </c:numRef>
          </c:cat>
          <c:val>
            <c:numRef>
              <c:f>'Ex 2 Clay Basin'!$B$14:$B$16</c:f>
              <c:numCache>
                <c:formatCode>#,##0</c:formatCode>
                <c:ptCount val="3"/>
                <c:pt idx="0">
                  <c:v>8147.7650000000003</c:v>
                </c:pt>
                <c:pt idx="1">
                  <c:v>5031.8580000000002</c:v>
                </c:pt>
                <c:pt idx="2">
                  <c:v>2808.5590000000002</c:v>
                </c:pt>
              </c:numCache>
            </c:numRef>
          </c:val>
        </c:ser>
        <c:ser>
          <c:idx val="1"/>
          <c:order val="1"/>
          <c:tx>
            <c:strRef>
              <c:f>'Ex 2 Clay Basin'!$C$7</c:f>
              <c:strCache>
                <c:ptCount val="1"/>
                <c:pt idx="0">
                  <c:v>IRP Forecast (Normal)</c:v>
                </c:pt>
              </c:strCache>
            </c:strRef>
          </c:tx>
          <c:spPr>
            <a:ln>
              <a:solidFill>
                <a:sysClr val="windowText" lastClr="000000"/>
              </a:solidFill>
            </a:ln>
          </c:spPr>
          <c:invertIfNegative val="0"/>
          <c:dLbls>
            <c:dLbl>
              <c:idx val="0"/>
              <c:layout>
                <c:manualLayout>
                  <c:x val="0"/>
                  <c:y val="-1.3551072829978687E-2"/>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0"/>
                  <c:y val="-1.7107036584865013E-2"/>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1.2961342807184764E-7"/>
                  <c:y val="-1.252226117539006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4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'Ex 2 Clay Basin'!$A$14:$A$16</c:f>
              <c:numCache>
                <c:formatCode>mmm\-yy</c:formatCode>
                <c:ptCount val="3"/>
                <c:pt idx="0">
                  <c:v>42705</c:v>
                </c:pt>
                <c:pt idx="1">
                  <c:v>42736</c:v>
                </c:pt>
                <c:pt idx="2">
                  <c:v>42767</c:v>
                </c:pt>
              </c:numCache>
            </c:numRef>
          </c:cat>
          <c:val>
            <c:numRef>
              <c:f>'Ex 2 Clay Basin'!$C$14:$C$16</c:f>
              <c:numCache>
                <c:formatCode>#,##0</c:formatCode>
                <c:ptCount val="3"/>
                <c:pt idx="0">
                  <c:v>7385.53271484375</c:v>
                </c:pt>
                <c:pt idx="1">
                  <c:v>2854.077880859375</c:v>
                </c:pt>
                <c:pt idx="2">
                  <c:v>250.9351806640625</c:v>
                </c:pt>
              </c:numCache>
            </c:numRef>
          </c:val>
        </c:ser>
        <c:dLbls>
          <c:showLegendKey val="0"/>
          <c:showVal val="0"/>
          <c:showCatName val="0"/>
          <c:showSerName val="0"/>
          <c:showPercent val="0"/>
          <c:showBubbleSize val="0"/>
        </c:dLbls>
        <c:gapWidth val="150"/>
        <c:axId val="211759432"/>
        <c:axId val="162699960"/>
      </c:barChart>
      <c:dateAx>
        <c:axId val="211759432"/>
        <c:scaling>
          <c:orientation val="minMax"/>
        </c:scaling>
        <c:delete val="0"/>
        <c:axPos val="b"/>
        <c:numFmt formatCode="mmm\-yy" sourceLinked="0"/>
        <c:majorTickMark val="out"/>
        <c:minorTickMark val="none"/>
        <c:tickLblPos val="nextTo"/>
        <c:txPr>
          <a:bodyPr/>
          <a:lstStyle/>
          <a:p>
            <a:pPr>
              <a:defRPr sz="1400"/>
            </a:pPr>
            <a:endParaRPr lang="en-US"/>
          </a:p>
        </c:txPr>
        <c:crossAx val="162699960"/>
        <c:crosses val="autoZero"/>
        <c:auto val="1"/>
        <c:lblOffset val="100"/>
        <c:baseTimeUnit val="months"/>
      </c:dateAx>
      <c:valAx>
        <c:axId val="162699960"/>
        <c:scaling>
          <c:orientation val="minMax"/>
        </c:scaling>
        <c:delete val="0"/>
        <c:axPos val="l"/>
        <c:majorGridlines/>
        <c:title>
          <c:tx>
            <c:rich>
              <a:bodyPr rot="-5400000" vert="horz"/>
              <a:lstStyle/>
              <a:p>
                <a:pPr>
                  <a:defRPr sz="1400"/>
                </a:pPr>
                <a:r>
                  <a:rPr lang="en-US" sz="1400"/>
                  <a:t>Mdth</a:t>
                </a:r>
              </a:p>
            </c:rich>
          </c:tx>
          <c:layout>
            <c:manualLayout>
              <c:xMode val="edge"/>
              <c:yMode val="edge"/>
              <c:x val="4.2617314345143136E-4"/>
              <c:y val="0.46619723107130673"/>
            </c:manualLayout>
          </c:layout>
          <c:overlay val="0"/>
        </c:title>
        <c:numFmt formatCode="#,##0" sourceLinked="1"/>
        <c:majorTickMark val="out"/>
        <c:minorTickMark val="none"/>
        <c:tickLblPos val="nextTo"/>
        <c:txPr>
          <a:bodyPr/>
          <a:lstStyle/>
          <a:p>
            <a:pPr>
              <a:defRPr sz="1400"/>
            </a:pPr>
            <a:endParaRPr lang="en-US"/>
          </a:p>
        </c:txPr>
        <c:crossAx val="211759432"/>
        <c:crosses val="autoZero"/>
        <c:crossBetween val="between"/>
      </c:valAx>
    </c:plotArea>
    <c:legend>
      <c:legendPos val="r"/>
      <c:layout>
        <c:manualLayout>
          <c:xMode val="edge"/>
          <c:yMode val="edge"/>
          <c:x val="0.71394757136839382"/>
          <c:y val="0.19282923205011893"/>
          <c:w val="0.1774257477074625"/>
          <c:h val="0.15695956213154721"/>
        </c:manualLayout>
      </c:layout>
      <c:overlay val="0"/>
      <c:spPr>
        <a:solidFill>
          <a:sysClr val="window" lastClr="FFFFFF"/>
        </a:solidFill>
        <a:ln>
          <a:solidFill>
            <a:sysClr val="windowText" lastClr="000000"/>
          </a:solidFill>
        </a:ln>
        <a:effectLst>
          <a:outerShdw blurRad="50800" dist="50800" dir="5400000" algn="ctr" rotWithShape="0">
            <a:srgbClr val="000000"/>
          </a:outerShdw>
        </a:effectLst>
      </c:spPr>
      <c:txPr>
        <a:bodyPr/>
        <a:lstStyle/>
        <a:p>
          <a:pPr>
            <a:defRPr sz="1400"/>
          </a:pPr>
          <a:endParaRPr lang="en-US"/>
        </a:p>
      </c:txPr>
    </c:legend>
    <c:plotVisOnly val="1"/>
    <c:dispBlanksAs val="gap"/>
    <c:showDLblsOverMax val="0"/>
  </c:chart>
  <c:spPr>
    <a:ln>
      <a:noFill/>
    </a:ln>
  </c:spPr>
  <c:printSettings>
    <c:headerFooter/>
    <c:pageMargins b="0.75000000000001354" l="0.70000000000000062" r="0.70000000000000062" t="0.75000000000001354" header="0.30000000000000032" footer="0.30000000000000032"/>
    <c:pageSetup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95949213244897"/>
          <c:y val="9.8931035902965772E-2"/>
          <c:w val="0.87879811319884604"/>
          <c:h val="0.82213064684279724"/>
        </c:manualLayout>
      </c:layout>
      <c:barChart>
        <c:barDir val="col"/>
        <c:grouping val="clustered"/>
        <c:varyColors val="0"/>
        <c:ser>
          <c:idx val="0"/>
          <c:order val="0"/>
          <c:tx>
            <c:strRef>
              <c:f>'Ex 2 Aquifers'!$B$6</c:f>
              <c:strCache>
                <c:ptCount val="1"/>
                <c:pt idx="0">
                  <c:v>Actual</c:v>
                </c:pt>
              </c:strCache>
            </c:strRef>
          </c:tx>
          <c:spPr>
            <a:solidFill>
              <a:schemeClr val="bg1"/>
            </a:solidFill>
            <a:ln>
              <a:solidFill>
                <a:schemeClr val="tx1"/>
              </a:solidFill>
            </a:ln>
          </c:spPr>
          <c:invertIfNegative val="0"/>
          <c:dLbls>
            <c:dLbl>
              <c:idx val="0"/>
              <c:layout>
                <c:manualLayout>
                  <c:x val="0"/>
                  <c:y val="-1.3646646522964961E-2"/>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1.2929418311491166E-7"/>
                  <c:y val="-2.3070604048958946E-2"/>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1.2041459144531225E-16"/>
                  <c:y val="-2.1182937011618216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400"/>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'Ex 2 Aquifers'!$A$13:$A$15</c:f>
              <c:numCache>
                <c:formatCode>mmm\-yy</c:formatCode>
                <c:ptCount val="3"/>
                <c:pt idx="0">
                  <c:v>42705</c:v>
                </c:pt>
                <c:pt idx="1">
                  <c:v>42736</c:v>
                </c:pt>
                <c:pt idx="2">
                  <c:v>42767</c:v>
                </c:pt>
              </c:numCache>
            </c:numRef>
          </c:cat>
          <c:val>
            <c:numRef>
              <c:f>'Ex 2 Aquifers'!$B$13:$B$15</c:f>
              <c:numCache>
                <c:formatCode>#,##0</c:formatCode>
                <c:ptCount val="3"/>
                <c:pt idx="0">
                  <c:v>1796.6890000000001</c:v>
                </c:pt>
                <c:pt idx="1">
                  <c:v>1789.4860000000001</c:v>
                </c:pt>
                <c:pt idx="2">
                  <c:v>1726.674</c:v>
                </c:pt>
              </c:numCache>
            </c:numRef>
          </c:val>
        </c:ser>
        <c:ser>
          <c:idx val="1"/>
          <c:order val="1"/>
          <c:tx>
            <c:strRef>
              <c:f>'Ex 2 Aquifers'!$C$6</c:f>
              <c:strCache>
                <c:ptCount val="1"/>
                <c:pt idx="0">
                  <c:v>IRP Forecast (Normal)</c:v>
                </c:pt>
              </c:strCache>
            </c:strRef>
          </c:tx>
          <c:spPr>
            <a:ln>
              <a:solidFill>
                <a:sysClr val="windowText" lastClr="000000"/>
              </a:solidFill>
            </a:ln>
          </c:spPr>
          <c:invertIfNegative val="0"/>
          <c:dLbls>
            <c:dLbl>
              <c:idx val="0"/>
              <c:layout>
                <c:manualLayout>
                  <c:x val="4.4590977851906447E-3"/>
                  <c:y val="-1.7492670762802365E-2"/>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1.2929418305470437E-7"/>
                  <c:y val="-3.0053803902186978E-2"/>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1.6419068306118112E-3"/>
                  <c:y val="-1.8131877595186478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wrap="square" lIns="38100" tIns="19050" rIns="38100" bIns="19050" anchor="ctr">
                <a:spAutoFit/>
              </a:bodyPr>
              <a:lstStyle/>
              <a:p>
                <a:pPr>
                  <a:defRPr sz="14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'Ex 2 Aquifers'!$A$13:$A$15</c:f>
              <c:numCache>
                <c:formatCode>mmm\-yy</c:formatCode>
                <c:ptCount val="3"/>
                <c:pt idx="0">
                  <c:v>42705</c:v>
                </c:pt>
                <c:pt idx="1">
                  <c:v>42736</c:v>
                </c:pt>
                <c:pt idx="2">
                  <c:v>42767</c:v>
                </c:pt>
              </c:numCache>
            </c:numRef>
          </c:cat>
          <c:val>
            <c:numRef>
              <c:f>'Ex 2 Aquifers'!$C$13:$C$15</c:f>
              <c:numCache>
                <c:formatCode>#,##0</c:formatCode>
                <c:ptCount val="3"/>
                <c:pt idx="0">
                  <c:v>1767.7289990234376</c:v>
                </c:pt>
                <c:pt idx="1">
                  <c:v>1815.822726135254</c:v>
                </c:pt>
                <c:pt idx="2">
                  <c:v>1771.6565541076661</c:v>
                </c:pt>
              </c:numCache>
            </c:numRef>
          </c:val>
        </c:ser>
        <c:dLbls>
          <c:showLegendKey val="0"/>
          <c:showVal val="0"/>
          <c:showCatName val="0"/>
          <c:showSerName val="0"/>
          <c:showPercent val="0"/>
          <c:showBubbleSize val="0"/>
        </c:dLbls>
        <c:gapWidth val="150"/>
        <c:axId val="213322728"/>
        <c:axId val="213323120"/>
      </c:barChart>
      <c:dateAx>
        <c:axId val="213322728"/>
        <c:scaling>
          <c:orientation val="minMax"/>
        </c:scaling>
        <c:delete val="0"/>
        <c:axPos val="b"/>
        <c:numFmt formatCode="mmm\-yy" sourceLinked="0"/>
        <c:majorTickMark val="out"/>
        <c:minorTickMark val="none"/>
        <c:tickLblPos val="nextTo"/>
        <c:txPr>
          <a:bodyPr/>
          <a:lstStyle/>
          <a:p>
            <a:pPr>
              <a:defRPr sz="1400"/>
            </a:pPr>
            <a:endParaRPr lang="en-US"/>
          </a:p>
        </c:txPr>
        <c:crossAx val="213323120"/>
        <c:crosses val="autoZero"/>
        <c:auto val="1"/>
        <c:lblOffset val="100"/>
        <c:baseTimeUnit val="months"/>
      </c:dateAx>
      <c:valAx>
        <c:axId val="213323120"/>
        <c:scaling>
          <c:orientation val="minMax"/>
          <c:min val="0"/>
        </c:scaling>
        <c:delete val="0"/>
        <c:axPos val="l"/>
        <c:majorGridlines/>
        <c:title>
          <c:tx>
            <c:rich>
              <a:bodyPr rot="-5400000" vert="horz"/>
              <a:lstStyle/>
              <a:p>
                <a:pPr>
                  <a:defRPr sz="1400"/>
                </a:pPr>
                <a:r>
                  <a:rPr lang="en-US" sz="1400"/>
                  <a:t>Mdth</a:t>
                </a:r>
              </a:p>
            </c:rich>
          </c:tx>
          <c:layout>
            <c:manualLayout>
              <c:xMode val="edge"/>
              <c:yMode val="edge"/>
              <c:x val="4.2622474881224973E-4"/>
              <c:y val="0.4661970547094787"/>
            </c:manualLayout>
          </c:layout>
          <c:overlay val="0"/>
        </c:title>
        <c:numFmt formatCode="#,##0" sourceLinked="1"/>
        <c:majorTickMark val="out"/>
        <c:minorTickMark val="none"/>
        <c:tickLblPos val="nextTo"/>
        <c:txPr>
          <a:bodyPr/>
          <a:lstStyle/>
          <a:p>
            <a:pPr>
              <a:defRPr sz="1400"/>
            </a:pPr>
            <a:endParaRPr lang="en-US"/>
          </a:p>
        </c:txPr>
        <c:crossAx val="213322728"/>
        <c:crosses val="autoZero"/>
        <c:crossBetween val="between"/>
      </c:valAx>
    </c:plotArea>
    <c:legend>
      <c:legendPos val="r"/>
      <c:legendEntry>
        <c:idx val="0"/>
        <c:txPr>
          <a:bodyPr/>
          <a:lstStyle/>
          <a:p>
            <a:pPr>
              <a:defRPr sz="1400"/>
            </a:pPr>
            <a:endParaRPr lang="en-US"/>
          </a:p>
        </c:txPr>
      </c:legendEntry>
      <c:legendEntry>
        <c:idx val="1"/>
        <c:txPr>
          <a:bodyPr/>
          <a:lstStyle/>
          <a:p>
            <a:pPr>
              <a:defRPr sz="1400"/>
            </a:pPr>
            <a:endParaRPr lang="en-US"/>
          </a:p>
        </c:txPr>
      </c:legendEntry>
      <c:layout>
        <c:manualLayout>
          <c:xMode val="edge"/>
          <c:yMode val="edge"/>
          <c:x val="0.57018101185627657"/>
          <c:y val="0.44224576064939103"/>
          <c:w val="0.15002637601334315"/>
          <c:h val="0.16121146768208897"/>
        </c:manualLayout>
      </c:layout>
      <c:overlay val="0"/>
      <c:spPr>
        <a:solidFill>
          <a:sysClr val="window" lastClr="FFFFFF"/>
        </a:solidFill>
        <a:ln>
          <a:solidFill>
            <a:sysClr val="windowText" lastClr="000000"/>
          </a:solidFill>
        </a:ln>
        <a:effectLst>
          <a:outerShdw blurRad="50800" dist="50800" dir="5400000" algn="ctr" rotWithShape="0">
            <a:srgbClr val="000000"/>
          </a:outerShdw>
        </a:effectLst>
      </c:spPr>
    </c:legend>
    <c:plotVisOnly val="1"/>
    <c:dispBlanksAs val="gap"/>
    <c:showDLblsOverMax val="0"/>
  </c:chart>
  <c:spPr>
    <a:ln>
      <a:noFill/>
    </a:ln>
  </c:spPr>
  <c:printSettings>
    <c:headerFooter/>
    <c:pageMargins b="0.75000000000001377" l="0.70000000000000062" r="0.70000000000000062" t="0.75000000000001377" header="0.30000000000000032" footer="0.30000000000000032"/>
    <c:pageSetup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578151297228117E-2"/>
          <c:y val="0.1177183155135911"/>
          <c:w val="0.89850250164882428"/>
          <c:h val="0.77988690807588446"/>
        </c:manualLayout>
      </c:layout>
      <c:barChart>
        <c:barDir val="col"/>
        <c:grouping val="clustered"/>
        <c:varyColors val="0"/>
        <c:ser>
          <c:idx val="0"/>
          <c:order val="0"/>
          <c:tx>
            <c:strRef>
              <c:f>'Ex 2 Clay Basin'!$B$7</c:f>
              <c:strCache>
                <c:ptCount val="1"/>
                <c:pt idx="0">
                  <c:v>Actual</c:v>
                </c:pt>
              </c:strCache>
            </c:strRef>
          </c:tx>
          <c:spPr>
            <a:solidFill>
              <a:schemeClr val="bg1"/>
            </a:solidFill>
            <a:ln>
              <a:solidFill>
                <a:schemeClr val="tx1"/>
              </a:solidFill>
            </a:ln>
          </c:spPr>
          <c:invertIfNegative val="0"/>
          <c:dLbls>
            <c:dLbl>
              <c:idx val="2"/>
              <c:layout>
                <c:manualLayout>
                  <c:x val="-1.477832703390443E-2"/>
                  <c:y val="3.8480038480038481E-3"/>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1.3136290696803877E-2"/>
                  <c:y val="1.9240019240018887E-3"/>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9.8522180226029536E-3"/>
                  <c:y val="0"/>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'Ex 2 Clay Basin'!$A$8:$A$16</c:f>
              <c:numCache>
                <c:formatCode>mmm\-yy</c:formatCode>
                <c:ptCount val="9"/>
                <c:pt idx="0">
                  <c:v>42522</c:v>
                </c:pt>
                <c:pt idx="1">
                  <c:v>42552</c:v>
                </c:pt>
                <c:pt idx="2">
                  <c:v>42583</c:v>
                </c:pt>
                <c:pt idx="3">
                  <c:v>42614</c:v>
                </c:pt>
                <c:pt idx="4">
                  <c:v>42644</c:v>
                </c:pt>
                <c:pt idx="5">
                  <c:v>42675</c:v>
                </c:pt>
                <c:pt idx="6">
                  <c:v>42705</c:v>
                </c:pt>
                <c:pt idx="7">
                  <c:v>42736</c:v>
                </c:pt>
                <c:pt idx="8">
                  <c:v>42767</c:v>
                </c:pt>
              </c:numCache>
            </c:numRef>
          </c:cat>
          <c:val>
            <c:numRef>
              <c:f>'Ex 2 Clay Basin'!$B$8:$B$16</c:f>
              <c:numCache>
                <c:formatCode>#,##0</c:formatCode>
                <c:ptCount val="9"/>
                <c:pt idx="0">
                  <c:v>4058.0940000000001</c:v>
                </c:pt>
                <c:pt idx="1">
                  <c:v>6876.4610000000002</c:v>
                </c:pt>
                <c:pt idx="2">
                  <c:v>9487.6929999999993</c:v>
                </c:pt>
                <c:pt idx="3">
                  <c:v>12102.064</c:v>
                </c:pt>
                <c:pt idx="4">
                  <c:v>12982.744000000001</c:v>
                </c:pt>
                <c:pt idx="5">
                  <c:v>12789.445</c:v>
                </c:pt>
                <c:pt idx="6">
                  <c:v>8147.7650000000003</c:v>
                </c:pt>
                <c:pt idx="7">
                  <c:v>5031.8580000000002</c:v>
                </c:pt>
                <c:pt idx="8">
                  <c:v>2808.5590000000002</c:v>
                </c:pt>
              </c:numCache>
            </c:numRef>
          </c:val>
        </c:ser>
        <c:ser>
          <c:idx val="1"/>
          <c:order val="1"/>
          <c:tx>
            <c:strRef>
              <c:f>'Ex 2 Clay Basin'!$C$7</c:f>
              <c:strCache>
                <c:ptCount val="1"/>
                <c:pt idx="0">
                  <c:v>IRP Forecast (Normal)</c:v>
                </c:pt>
              </c:strCache>
            </c:strRef>
          </c:tx>
          <c:spPr>
            <a:ln>
              <a:solidFill>
                <a:sysClr val="windowText" lastClr="000000"/>
              </a:solidFill>
            </a:ln>
          </c:spPr>
          <c:invertIfNegative val="0"/>
          <c:dLbls>
            <c:dLbl>
              <c:idx val="0"/>
              <c:layout>
                <c:manualLayout>
                  <c:x val="9.8522180226029536E-3"/>
                  <c:y val="-1.4109184452178E-16"/>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1.8062399708105414E-2"/>
                  <c:y val="-3.5272961130445E-17"/>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'Ex 2 Clay Basin'!$A$8:$A$16</c:f>
              <c:numCache>
                <c:formatCode>mmm\-yy</c:formatCode>
                <c:ptCount val="9"/>
                <c:pt idx="0">
                  <c:v>42522</c:v>
                </c:pt>
                <c:pt idx="1">
                  <c:v>42552</c:v>
                </c:pt>
                <c:pt idx="2">
                  <c:v>42583</c:v>
                </c:pt>
                <c:pt idx="3">
                  <c:v>42614</c:v>
                </c:pt>
                <c:pt idx="4">
                  <c:v>42644</c:v>
                </c:pt>
                <c:pt idx="5">
                  <c:v>42675</c:v>
                </c:pt>
                <c:pt idx="6">
                  <c:v>42705</c:v>
                </c:pt>
                <c:pt idx="7">
                  <c:v>42736</c:v>
                </c:pt>
                <c:pt idx="8">
                  <c:v>42767</c:v>
                </c:pt>
              </c:numCache>
            </c:numRef>
          </c:cat>
          <c:val>
            <c:numRef>
              <c:f>'Ex 2 Clay Basin'!$C$8:$C$16</c:f>
              <c:numCache>
                <c:formatCode>#,##0</c:formatCode>
                <c:ptCount val="9"/>
                <c:pt idx="0">
                  <c:v>4078</c:v>
                </c:pt>
                <c:pt idx="1">
                  <c:v>6744</c:v>
                </c:pt>
                <c:pt idx="2">
                  <c:v>9410</c:v>
                </c:pt>
                <c:pt idx="3">
                  <c:v>11990</c:v>
                </c:pt>
                <c:pt idx="4">
                  <c:v>13419</c:v>
                </c:pt>
                <c:pt idx="5">
                  <c:v>13419</c:v>
                </c:pt>
                <c:pt idx="6">
                  <c:v>7385.53271484375</c:v>
                </c:pt>
                <c:pt idx="7">
                  <c:v>2854.077880859375</c:v>
                </c:pt>
                <c:pt idx="8">
                  <c:v>250.9351806640625</c:v>
                </c:pt>
              </c:numCache>
            </c:numRef>
          </c:val>
        </c:ser>
        <c:dLbls>
          <c:showLegendKey val="0"/>
          <c:showVal val="0"/>
          <c:showCatName val="0"/>
          <c:showSerName val="0"/>
          <c:showPercent val="0"/>
          <c:showBubbleSize val="0"/>
        </c:dLbls>
        <c:gapWidth val="150"/>
        <c:axId val="213324296"/>
        <c:axId val="213324688"/>
      </c:barChart>
      <c:dateAx>
        <c:axId val="213324296"/>
        <c:scaling>
          <c:orientation val="minMax"/>
        </c:scaling>
        <c:delete val="0"/>
        <c:axPos val="b"/>
        <c:numFmt formatCode="mmm\-yy" sourceLinked="0"/>
        <c:majorTickMark val="out"/>
        <c:minorTickMark val="none"/>
        <c:tickLblPos val="nextTo"/>
        <c:txPr>
          <a:bodyPr/>
          <a:lstStyle/>
          <a:p>
            <a:pPr>
              <a:defRPr sz="1400"/>
            </a:pPr>
            <a:endParaRPr lang="en-US"/>
          </a:p>
        </c:txPr>
        <c:crossAx val="213324688"/>
        <c:crosses val="autoZero"/>
        <c:auto val="1"/>
        <c:lblOffset val="100"/>
        <c:baseTimeUnit val="months"/>
      </c:dateAx>
      <c:valAx>
        <c:axId val="213324688"/>
        <c:scaling>
          <c:orientation val="minMax"/>
        </c:scaling>
        <c:delete val="0"/>
        <c:axPos val="l"/>
        <c:majorGridlines/>
        <c:title>
          <c:tx>
            <c:rich>
              <a:bodyPr rot="-5400000" vert="horz"/>
              <a:lstStyle/>
              <a:p>
                <a:pPr>
                  <a:defRPr sz="1400"/>
                </a:pPr>
                <a:r>
                  <a:rPr lang="en-US" sz="1400"/>
                  <a:t>Mdth</a:t>
                </a:r>
              </a:p>
            </c:rich>
          </c:tx>
          <c:layout>
            <c:manualLayout>
              <c:xMode val="edge"/>
              <c:yMode val="edge"/>
              <c:x val="1.1920408042150943E-2"/>
              <c:y val="0.4084771221779096"/>
            </c:manualLayout>
          </c:layout>
          <c:overlay val="0"/>
        </c:title>
        <c:numFmt formatCode="#,##0" sourceLinked="1"/>
        <c:majorTickMark val="out"/>
        <c:minorTickMark val="none"/>
        <c:tickLblPos val="nextTo"/>
        <c:txPr>
          <a:bodyPr/>
          <a:lstStyle/>
          <a:p>
            <a:pPr>
              <a:defRPr sz="1400"/>
            </a:pPr>
            <a:endParaRPr lang="en-US"/>
          </a:p>
        </c:txPr>
        <c:crossAx val="213324296"/>
        <c:crosses val="autoZero"/>
        <c:crossBetween val="between"/>
      </c:valAx>
    </c:plotArea>
    <c:legend>
      <c:legendPos val="r"/>
      <c:layout>
        <c:manualLayout>
          <c:xMode val="edge"/>
          <c:yMode val="edge"/>
          <c:x val="0.15864269017786878"/>
          <c:y val="0.20172523889059321"/>
          <c:w val="0.18848301571997669"/>
          <c:h val="0.13998447163801495"/>
        </c:manualLayout>
      </c:layout>
      <c:overlay val="0"/>
      <c:spPr>
        <a:solidFill>
          <a:sysClr val="window" lastClr="FFFFFF"/>
        </a:solidFill>
        <a:ln>
          <a:solidFill>
            <a:sysClr val="windowText" lastClr="000000"/>
          </a:solidFill>
        </a:ln>
        <a:effectLst>
          <a:outerShdw blurRad="50800" dist="50800" dir="5400000" algn="ctr" rotWithShape="0">
            <a:srgbClr val="000000"/>
          </a:outerShdw>
        </a:effectLst>
      </c:spPr>
      <c:txPr>
        <a:bodyPr/>
        <a:lstStyle/>
        <a:p>
          <a:pPr>
            <a:defRPr sz="1400"/>
          </a:pPr>
          <a:endParaRPr lang="en-US"/>
        </a:p>
      </c:txPr>
    </c:legend>
    <c:plotVisOnly val="1"/>
    <c:dispBlanksAs val="gap"/>
    <c:showDLblsOverMax val="0"/>
  </c:chart>
  <c:spPr>
    <a:ln>
      <a:noFill/>
    </a:ln>
  </c:spPr>
  <c:printSettings>
    <c:headerFooter/>
    <c:pageMargins b="0.75000000000001332" l="0.70000000000000062" r="0.70000000000000062" t="0.75000000000001332" header="0.30000000000000032" footer="0.30000000000000032"/>
    <c:pageSetup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528260958845322"/>
          <c:y val="0.1251365970558028"/>
          <c:w val="0.8787981131988456"/>
          <c:h val="0.75836250903419677"/>
        </c:manualLayout>
      </c:layout>
      <c:barChart>
        <c:barDir val="col"/>
        <c:grouping val="clustered"/>
        <c:varyColors val="0"/>
        <c:ser>
          <c:idx val="0"/>
          <c:order val="0"/>
          <c:tx>
            <c:strRef>
              <c:f>'Ex 2 Aquifers'!$B$6</c:f>
              <c:strCache>
                <c:ptCount val="1"/>
                <c:pt idx="0">
                  <c:v>Actual</c:v>
                </c:pt>
              </c:strCache>
            </c:strRef>
          </c:tx>
          <c:spPr>
            <a:solidFill>
              <a:schemeClr val="bg1"/>
            </a:solidFill>
            <a:ln>
              <a:solidFill>
                <a:schemeClr val="tx1"/>
              </a:solidFill>
            </a:ln>
          </c:spPr>
          <c:invertIfNegative val="0"/>
          <c:dLbls>
            <c:dLbl>
              <c:idx val="4"/>
              <c:layout>
                <c:manualLayout>
                  <c:x val="-1.1494252873563158E-2"/>
                  <c:y val="3.8647342995169081E-3"/>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4.9261083743843571E-3"/>
                  <c:y val="-3.5426321831012154E-17"/>
                </c:manualLayout>
              </c:layout>
              <c:showLegendKey val="0"/>
              <c:showVal val="1"/>
              <c:showCatName val="0"/>
              <c:showSerName val="0"/>
              <c:showPercent val="0"/>
              <c:showBubbleSize val="0"/>
              <c:extLst>
                <c:ext xmlns:c15="http://schemas.microsoft.com/office/drawing/2012/chart" uri="{CE6537A1-D6FC-4f65-9D91-7224C49458BB}"/>
              </c:extLst>
            </c:dLbl>
            <c:dLbl>
              <c:idx val="8"/>
              <c:layout>
                <c:manualLayout>
                  <c:x val="-9.8522167487685927E-3"/>
                  <c:y val="3.8647342995169081E-3"/>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'Ex 2 Aquifers'!$A$7:$A$15</c:f>
              <c:numCache>
                <c:formatCode>mmm\-yy</c:formatCode>
                <c:ptCount val="9"/>
                <c:pt idx="0">
                  <c:v>42522</c:v>
                </c:pt>
                <c:pt idx="1">
                  <c:v>42552</c:v>
                </c:pt>
                <c:pt idx="2">
                  <c:v>42583</c:v>
                </c:pt>
                <c:pt idx="3">
                  <c:v>42614</c:v>
                </c:pt>
                <c:pt idx="4">
                  <c:v>42644</c:v>
                </c:pt>
                <c:pt idx="5">
                  <c:v>42675</c:v>
                </c:pt>
                <c:pt idx="6">
                  <c:v>42705</c:v>
                </c:pt>
                <c:pt idx="7">
                  <c:v>42736</c:v>
                </c:pt>
                <c:pt idx="8">
                  <c:v>42767</c:v>
                </c:pt>
              </c:numCache>
            </c:numRef>
          </c:cat>
          <c:val>
            <c:numRef>
              <c:f>'Ex 2 Aquifers'!$B$7:$B$15</c:f>
              <c:numCache>
                <c:formatCode>#,##0</c:formatCode>
                <c:ptCount val="9"/>
                <c:pt idx="0">
                  <c:v>779.63199999999995</c:v>
                </c:pt>
                <c:pt idx="1">
                  <c:v>768.69500000000005</c:v>
                </c:pt>
                <c:pt idx="2">
                  <c:v>768.55</c:v>
                </c:pt>
                <c:pt idx="3">
                  <c:v>872.48099999999999</c:v>
                </c:pt>
                <c:pt idx="4">
                  <c:v>1055.857</c:v>
                </c:pt>
                <c:pt idx="5">
                  <c:v>1665.79</c:v>
                </c:pt>
                <c:pt idx="6">
                  <c:v>1796.6890000000001</c:v>
                </c:pt>
                <c:pt idx="7">
                  <c:v>1789.4860000000001</c:v>
                </c:pt>
                <c:pt idx="8">
                  <c:v>1726.674</c:v>
                </c:pt>
              </c:numCache>
            </c:numRef>
          </c:val>
        </c:ser>
        <c:ser>
          <c:idx val="1"/>
          <c:order val="1"/>
          <c:tx>
            <c:strRef>
              <c:f>'Ex 2 Aquifers'!$C$6</c:f>
              <c:strCache>
                <c:ptCount val="1"/>
                <c:pt idx="0">
                  <c:v>IRP Forecast (Normal)</c:v>
                </c:pt>
              </c:strCache>
            </c:strRef>
          </c:tx>
          <c:spPr>
            <a:ln>
              <a:solidFill>
                <a:sysClr val="windowText" lastClr="000000"/>
              </a:solidFill>
            </a:ln>
          </c:spPr>
          <c:invertIfNegative val="0"/>
          <c:dLbls>
            <c:dLbl>
              <c:idx val="5"/>
              <c:layout>
                <c:manualLayout>
                  <c:x val="8.2101806239737278E-3"/>
                  <c:y val="1.9323671497584187E-3"/>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1.1494252873563218E-2"/>
                  <c:y val="5.7971014492753624E-3"/>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1.1494252873563099E-2"/>
                  <c:y val="0"/>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'Ex 2 Aquifers'!$A$7:$A$15</c:f>
              <c:numCache>
                <c:formatCode>mmm\-yy</c:formatCode>
                <c:ptCount val="9"/>
                <c:pt idx="0">
                  <c:v>42522</c:v>
                </c:pt>
                <c:pt idx="1">
                  <c:v>42552</c:v>
                </c:pt>
                <c:pt idx="2">
                  <c:v>42583</c:v>
                </c:pt>
                <c:pt idx="3">
                  <c:v>42614</c:v>
                </c:pt>
                <c:pt idx="4">
                  <c:v>42644</c:v>
                </c:pt>
                <c:pt idx="5">
                  <c:v>42675</c:v>
                </c:pt>
                <c:pt idx="6">
                  <c:v>42705</c:v>
                </c:pt>
                <c:pt idx="7">
                  <c:v>42736</c:v>
                </c:pt>
                <c:pt idx="8">
                  <c:v>42767</c:v>
                </c:pt>
              </c:numCache>
            </c:numRef>
          </c:cat>
          <c:val>
            <c:numRef>
              <c:f>'Ex 2 Aquifers'!$C$7:$C$15</c:f>
              <c:numCache>
                <c:formatCode>#,##0</c:formatCode>
                <c:ptCount val="9"/>
                <c:pt idx="0">
                  <c:v>743.63</c:v>
                </c:pt>
                <c:pt idx="1">
                  <c:v>743.63</c:v>
                </c:pt>
                <c:pt idx="2">
                  <c:v>743.63</c:v>
                </c:pt>
                <c:pt idx="3">
                  <c:v>743.63</c:v>
                </c:pt>
                <c:pt idx="4">
                  <c:v>1121.0299938964845</c:v>
                </c:pt>
                <c:pt idx="5">
                  <c:v>1538.2289990234376</c:v>
                </c:pt>
                <c:pt idx="6">
                  <c:v>1767.7289990234376</c:v>
                </c:pt>
                <c:pt idx="7">
                  <c:v>1815.822726135254</c:v>
                </c:pt>
                <c:pt idx="8">
                  <c:v>1771.6565541076661</c:v>
                </c:pt>
              </c:numCache>
            </c:numRef>
          </c:val>
        </c:ser>
        <c:dLbls>
          <c:showLegendKey val="0"/>
          <c:showVal val="0"/>
          <c:showCatName val="0"/>
          <c:showSerName val="0"/>
          <c:showPercent val="0"/>
          <c:showBubbleSize val="0"/>
        </c:dLbls>
        <c:gapWidth val="150"/>
        <c:axId val="213323904"/>
        <c:axId val="213322336"/>
      </c:barChart>
      <c:dateAx>
        <c:axId val="213323904"/>
        <c:scaling>
          <c:orientation val="minMax"/>
        </c:scaling>
        <c:delete val="0"/>
        <c:axPos val="b"/>
        <c:numFmt formatCode="mmm\-yy" sourceLinked="0"/>
        <c:majorTickMark val="out"/>
        <c:minorTickMark val="none"/>
        <c:tickLblPos val="nextTo"/>
        <c:txPr>
          <a:bodyPr/>
          <a:lstStyle/>
          <a:p>
            <a:pPr>
              <a:defRPr sz="1400"/>
            </a:pPr>
            <a:endParaRPr lang="en-US"/>
          </a:p>
        </c:txPr>
        <c:crossAx val="213322336"/>
        <c:crosses val="autoZero"/>
        <c:auto val="1"/>
        <c:lblOffset val="100"/>
        <c:baseTimeUnit val="months"/>
      </c:dateAx>
      <c:valAx>
        <c:axId val="213322336"/>
        <c:scaling>
          <c:orientation val="minMax"/>
          <c:min val="0"/>
        </c:scaling>
        <c:delete val="0"/>
        <c:axPos val="l"/>
        <c:majorGridlines/>
        <c:title>
          <c:tx>
            <c:rich>
              <a:bodyPr rot="-5400000" vert="horz"/>
              <a:lstStyle/>
              <a:p>
                <a:pPr>
                  <a:defRPr sz="1400"/>
                </a:pPr>
                <a:r>
                  <a:rPr lang="en-US" sz="1400"/>
                  <a:t>Mdth</a:t>
                </a:r>
              </a:p>
            </c:rich>
          </c:tx>
          <c:layout>
            <c:manualLayout>
              <c:xMode val="edge"/>
              <c:yMode val="edge"/>
              <c:x val="4.2622474881224941E-4"/>
              <c:y val="0.4661970547094787"/>
            </c:manualLayout>
          </c:layout>
          <c:overlay val="0"/>
        </c:title>
        <c:numFmt formatCode="#,##0" sourceLinked="1"/>
        <c:majorTickMark val="out"/>
        <c:minorTickMark val="none"/>
        <c:tickLblPos val="nextTo"/>
        <c:txPr>
          <a:bodyPr/>
          <a:lstStyle/>
          <a:p>
            <a:pPr>
              <a:defRPr sz="1400"/>
            </a:pPr>
            <a:endParaRPr lang="en-US"/>
          </a:p>
        </c:txPr>
        <c:crossAx val="213323904"/>
        <c:crosses val="autoZero"/>
        <c:crossBetween val="between"/>
      </c:valAx>
    </c:plotArea>
    <c:legend>
      <c:legendPos val="r"/>
      <c:layout>
        <c:manualLayout>
          <c:xMode val="edge"/>
          <c:yMode val="edge"/>
          <c:x val="0.31565015579949057"/>
          <c:y val="0.1713254973563087"/>
          <c:w val="0.16549448560309268"/>
          <c:h val="0.1541196698238807"/>
        </c:manualLayout>
      </c:layout>
      <c:overlay val="0"/>
      <c:spPr>
        <a:solidFill>
          <a:sysClr val="window" lastClr="FFFFFF"/>
        </a:solidFill>
        <a:ln>
          <a:solidFill>
            <a:sysClr val="windowText" lastClr="000000"/>
          </a:solidFill>
        </a:ln>
        <a:effectLst>
          <a:outerShdw blurRad="50800" dist="50800" dir="5400000" algn="ctr" rotWithShape="0">
            <a:srgbClr val="000000"/>
          </a:outerShdw>
        </a:effectLst>
      </c:spPr>
      <c:txPr>
        <a:bodyPr/>
        <a:lstStyle/>
        <a:p>
          <a:pPr>
            <a:defRPr sz="1400"/>
          </a:pPr>
          <a:endParaRPr lang="en-US"/>
        </a:p>
      </c:txPr>
    </c:legend>
    <c:plotVisOnly val="1"/>
    <c:dispBlanksAs val="gap"/>
    <c:showDLblsOverMax val="0"/>
  </c:chart>
  <c:spPr>
    <a:ln>
      <a:noFill/>
    </a:ln>
  </c:spPr>
  <c:printSettings>
    <c:headerFooter/>
    <c:pageMargins b="0.75000000000001366" l="0.70000000000000095" r="0.70000000000000095" t="0.75000000000001366" header="0.30000000000000032" footer="0.30000000000000032"/>
    <c:pageSetup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a:defRPr sz="1800"/>
            </a:pPr>
            <a:r>
              <a:rPr lang="en-US" sz="1800"/>
              <a:t>Firm Sales Variance</a:t>
            </a:r>
          </a:p>
          <a:p>
            <a:pPr algn="ctr">
              <a:defRPr sz="1800"/>
            </a:pPr>
            <a:r>
              <a:rPr lang="en-US" sz="1800"/>
              <a:t>IRP Third Quarter:  December 2016 to February 2017</a:t>
            </a:r>
          </a:p>
        </c:rich>
      </c:tx>
      <c:layout>
        <c:manualLayout>
          <c:xMode val="edge"/>
          <c:yMode val="edge"/>
          <c:x val="0.24939755440268963"/>
          <c:y val="1.4675168916653004E-2"/>
        </c:manualLayout>
      </c:layout>
      <c:overlay val="0"/>
    </c:title>
    <c:autoTitleDeleted val="0"/>
    <c:plotArea>
      <c:layout>
        <c:manualLayout>
          <c:layoutTarget val="inner"/>
          <c:xMode val="edge"/>
          <c:yMode val="edge"/>
          <c:x val="0.13703438585328359"/>
          <c:y val="0.11421695332360562"/>
          <c:w val="0.86194688825572485"/>
          <c:h val="0.76049912122083263"/>
        </c:manualLayout>
      </c:layout>
      <c:barChart>
        <c:barDir val="col"/>
        <c:grouping val="clustered"/>
        <c:varyColors val="0"/>
        <c:ser>
          <c:idx val="0"/>
          <c:order val="0"/>
          <c:tx>
            <c:strRef>
              <c:f>'Exhibit Firm Sales Volume'!$G$4</c:f>
              <c:strCache>
                <c:ptCount val="1"/>
                <c:pt idx="0">
                  <c:v>Actual</c:v>
                </c:pt>
              </c:strCache>
            </c:strRef>
          </c:tx>
          <c:spPr>
            <a:solidFill>
              <a:schemeClr val="bg1"/>
            </a:solidFill>
            <a:ln>
              <a:solidFill>
                <a:schemeClr val="tx1"/>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'Exhibit Firm Sales Volume'!$A$11:$A$13</c:f>
              <c:numCache>
                <c:formatCode>[$-409]mmm\-yy;@</c:formatCode>
                <c:ptCount val="3"/>
                <c:pt idx="0">
                  <c:v>42705</c:v>
                </c:pt>
                <c:pt idx="1">
                  <c:v>42736</c:v>
                </c:pt>
                <c:pt idx="2">
                  <c:v>42767</c:v>
                </c:pt>
              </c:numCache>
            </c:numRef>
          </c:cat>
          <c:val>
            <c:numRef>
              <c:f>'Exhibit Firm Sales Volume'!$B$11:$B$13</c:f>
              <c:numCache>
                <c:formatCode>_(* #,##0_);_(* \(#,##0\);_(* "-"??_);_(@_)</c:formatCode>
                <c:ptCount val="3"/>
                <c:pt idx="0">
                  <c:v>19592.12818</c:v>
                </c:pt>
                <c:pt idx="1">
                  <c:v>21093.477179999998</c:v>
                </c:pt>
                <c:pt idx="2">
                  <c:v>14489.743129999997</c:v>
                </c:pt>
              </c:numCache>
            </c:numRef>
          </c:val>
        </c:ser>
        <c:ser>
          <c:idx val="1"/>
          <c:order val="1"/>
          <c:tx>
            <c:strRef>
              <c:f>'Exhibit Firm Sales Volume'!$H$4</c:f>
              <c:strCache>
                <c:ptCount val="1"/>
                <c:pt idx="0">
                  <c:v>IRP Forecast (Normal)</c:v>
                </c:pt>
              </c:strCache>
            </c:strRef>
          </c:tx>
          <c:spPr>
            <a:ln>
              <a:solidFill>
                <a:sysClr val="windowText" lastClr="00000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'Exhibit Firm Sales Volume'!$A$11:$A$13</c:f>
              <c:numCache>
                <c:formatCode>[$-409]mmm\-yy;@</c:formatCode>
                <c:ptCount val="3"/>
                <c:pt idx="0">
                  <c:v>42705</c:v>
                </c:pt>
                <c:pt idx="1">
                  <c:v>42736</c:v>
                </c:pt>
                <c:pt idx="2">
                  <c:v>42767</c:v>
                </c:pt>
              </c:numCache>
            </c:numRef>
          </c:cat>
          <c:val>
            <c:numRef>
              <c:f>'Exhibit Firm Sales Volume'!$C$11:$C$13</c:f>
              <c:numCache>
                <c:formatCode>_(* #,##0_);_(* \(#,##0\);_(* "-"??_);_(@_)</c:formatCode>
                <c:ptCount val="3"/>
                <c:pt idx="0">
                  <c:v>18491.82447052002</c:v>
                </c:pt>
                <c:pt idx="1">
                  <c:v>19498.209446907043</c:v>
                </c:pt>
                <c:pt idx="2">
                  <c:v>15706.513312339783</c:v>
                </c:pt>
              </c:numCache>
            </c:numRef>
          </c:val>
        </c:ser>
        <c:dLbls>
          <c:showLegendKey val="0"/>
          <c:showVal val="1"/>
          <c:showCatName val="0"/>
          <c:showSerName val="0"/>
          <c:showPercent val="0"/>
          <c:showBubbleSize val="0"/>
        </c:dLbls>
        <c:gapWidth val="150"/>
        <c:axId val="213321552"/>
        <c:axId val="213321160"/>
      </c:barChart>
      <c:dateAx>
        <c:axId val="213321552"/>
        <c:scaling>
          <c:orientation val="minMax"/>
        </c:scaling>
        <c:delete val="0"/>
        <c:axPos val="b"/>
        <c:numFmt formatCode="mmm\-yy" sourceLinked="0"/>
        <c:majorTickMark val="out"/>
        <c:minorTickMark val="none"/>
        <c:tickLblPos val="nextTo"/>
        <c:txPr>
          <a:bodyPr/>
          <a:lstStyle/>
          <a:p>
            <a:pPr>
              <a:defRPr sz="1400"/>
            </a:pPr>
            <a:endParaRPr lang="en-US"/>
          </a:p>
        </c:txPr>
        <c:crossAx val="213321160"/>
        <c:crosses val="autoZero"/>
        <c:auto val="1"/>
        <c:lblOffset val="100"/>
        <c:baseTimeUnit val="months"/>
      </c:dateAx>
      <c:valAx>
        <c:axId val="213321160"/>
        <c:scaling>
          <c:orientation val="minMax"/>
          <c:min val="0"/>
        </c:scaling>
        <c:delete val="0"/>
        <c:axPos val="l"/>
        <c:majorGridlines/>
        <c:title>
          <c:tx>
            <c:rich>
              <a:bodyPr rot="-5400000" vert="horz"/>
              <a:lstStyle/>
              <a:p>
                <a:pPr>
                  <a:defRPr sz="1400"/>
                </a:pPr>
                <a:r>
                  <a:rPr lang="en-US" sz="1400"/>
                  <a:t>Mdth</a:t>
                </a:r>
              </a:p>
            </c:rich>
          </c:tx>
          <c:layout>
            <c:manualLayout>
              <c:xMode val="edge"/>
              <c:yMode val="edge"/>
              <c:x val="5.2584024342091796E-3"/>
              <c:y val="0.44061250258436935"/>
            </c:manualLayout>
          </c:layout>
          <c:overlay val="0"/>
        </c:title>
        <c:numFmt formatCode="#,##0" sourceLinked="0"/>
        <c:majorTickMark val="out"/>
        <c:minorTickMark val="none"/>
        <c:tickLblPos val="nextTo"/>
        <c:txPr>
          <a:bodyPr/>
          <a:lstStyle/>
          <a:p>
            <a:pPr>
              <a:defRPr sz="1400"/>
            </a:pPr>
            <a:endParaRPr lang="en-US"/>
          </a:p>
        </c:txPr>
        <c:crossAx val="213321552"/>
        <c:crosses val="autoZero"/>
        <c:crossBetween val="between"/>
      </c:valAx>
    </c:plotArea>
    <c:legend>
      <c:legendPos val="b"/>
      <c:legendEntry>
        <c:idx val="0"/>
        <c:txPr>
          <a:bodyPr/>
          <a:lstStyle/>
          <a:p>
            <a:pPr>
              <a:defRPr sz="1400"/>
            </a:pPr>
            <a:endParaRPr lang="en-US"/>
          </a:p>
        </c:txPr>
      </c:legendEntry>
      <c:legendEntry>
        <c:idx val="1"/>
        <c:txPr>
          <a:bodyPr/>
          <a:lstStyle/>
          <a:p>
            <a:pPr>
              <a:defRPr sz="1400"/>
            </a:pPr>
            <a:endParaRPr lang="en-US"/>
          </a:p>
        </c:txPr>
      </c:legendEntry>
      <c:layout>
        <c:manualLayout>
          <c:xMode val="edge"/>
          <c:yMode val="edge"/>
          <c:x val="0.59730264486169993"/>
          <c:y val="0.14750096979416272"/>
          <c:w val="0.33365414607455007"/>
          <c:h val="3.2888272868458135E-2"/>
        </c:manualLayout>
      </c:layout>
      <c:overlay val="1"/>
      <c:spPr>
        <a:solidFill>
          <a:sysClr val="window" lastClr="FFFFFF"/>
        </a:solidFill>
        <a:ln>
          <a:solidFill>
            <a:sysClr val="windowText" lastClr="000000"/>
          </a:solidFill>
        </a:ln>
        <a:effectLst>
          <a:outerShdw blurRad="50800" dist="50800" dir="5400000" algn="ctr" rotWithShape="0">
            <a:srgbClr val="000000"/>
          </a:outerShdw>
        </a:effectLst>
      </c:spPr>
      <c:txPr>
        <a:bodyPr/>
        <a:lstStyle/>
        <a:p>
          <a:pPr>
            <a:defRPr sz="1400"/>
          </a:pPr>
          <a:endParaRPr lang="en-US"/>
        </a:p>
      </c:txPr>
    </c:legend>
    <c:plotVisOnly val="1"/>
    <c:dispBlanksAs val="gap"/>
    <c:showDLblsOverMax val="0"/>
  </c:chart>
  <c:spPr>
    <a:ln>
      <a:noFill/>
    </a:ln>
  </c:spPr>
  <c:printSettings>
    <c:headerFooter/>
    <c:pageMargins b="0.75000000000001465" l="0.70000000000000095" r="0.70000000000000095" t="0.75000000000001465" header="0.30000000000000032" footer="0.30000000000000032"/>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800"/>
            </a:pPr>
            <a:r>
              <a:rPr lang="en-US" sz="1800"/>
              <a:t>Firm Sales Variance</a:t>
            </a:r>
          </a:p>
          <a:p>
            <a:pPr>
              <a:defRPr sz="1800"/>
            </a:pPr>
            <a:r>
              <a:rPr lang="en-US" sz="1800"/>
              <a:t>IRP Year:  June 2016 to Present</a:t>
            </a:r>
          </a:p>
        </c:rich>
      </c:tx>
      <c:layout>
        <c:manualLayout>
          <c:xMode val="edge"/>
          <c:yMode val="edge"/>
          <c:x val="0.32954591113821208"/>
          <c:y val="1.2858605685397768E-2"/>
        </c:manualLayout>
      </c:layout>
      <c:overlay val="0"/>
    </c:title>
    <c:autoTitleDeleted val="0"/>
    <c:plotArea>
      <c:layout>
        <c:manualLayout>
          <c:layoutTarget val="inner"/>
          <c:xMode val="edge"/>
          <c:yMode val="edge"/>
          <c:x val="0.13703438585328354"/>
          <c:y val="0.11421695332360562"/>
          <c:w val="0.86194688825572485"/>
          <c:h val="0.76049912122083263"/>
        </c:manualLayout>
      </c:layout>
      <c:barChart>
        <c:barDir val="col"/>
        <c:grouping val="clustered"/>
        <c:varyColors val="0"/>
        <c:ser>
          <c:idx val="0"/>
          <c:order val="0"/>
          <c:tx>
            <c:strRef>
              <c:f>'Exhibit Firm Sales Volume'!$G$4</c:f>
              <c:strCache>
                <c:ptCount val="1"/>
                <c:pt idx="0">
                  <c:v>Actual</c:v>
                </c:pt>
              </c:strCache>
            </c:strRef>
          </c:tx>
          <c:spPr>
            <a:solidFill>
              <a:schemeClr val="bg1"/>
            </a:solidFill>
            <a:ln>
              <a:solidFill>
                <a:schemeClr val="tx1"/>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'Exhibit Firm Sales Volume'!$A$5:$A$13</c:f>
              <c:numCache>
                <c:formatCode>[$-409]mmm\-yy;@</c:formatCode>
                <c:ptCount val="9"/>
                <c:pt idx="0">
                  <c:v>42522</c:v>
                </c:pt>
                <c:pt idx="1">
                  <c:v>42552</c:v>
                </c:pt>
                <c:pt idx="2">
                  <c:v>42583</c:v>
                </c:pt>
                <c:pt idx="3">
                  <c:v>42614</c:v>
                </c:pt>
                <c:pt idx="4">
                  <c:v>42644</c:v>
                </c:pt>
                <c:pt idx="5">
                  <c:v>42675</c:v>
                </c:pt>
                <c:pt idx="6">
                  <c:v>42705</c:v>
                </c:pt>
                <c:pt idx="7">
                  <c:v>42736</c:v>
                </c:pt>
                <c:pt idx="8">
                  <c:v>42767</c:v>
                </c:pt>
              </c:numCache>
            </c:numRef>
          </c:cat>
          <c:val>
            <c:numRef>
              <c:f>'Exhibit Firm Sales Volume'!$B$5:$B$13</c:f>
              <c:numCache>
                <c:formatCode>_(* #,##0_);_(* \(#,##0\);_(* "-"??_);_(@_)</c:formatCode>
                <c:ptCount val="9"/>
                <c:pt idx="0">
                  <c:v>2715.8141700000001</c:v>
                </c:pt>
                <c:pt idx="1">
                  <c:v>2640.3173199999997</c:v>
                </c:pt>
                <c:pt idx="2">
                  <c:v>2468.9849400000003</c:v>
                </c:pt>
                <c:pt idx="3">
                  <c:v>2812.6471699999993</c:v>
                </c:pt>
                <c:pt idx="4">
                  <c:v>5215.980050000001</c:v>
                </c:pt>
                <c:pt idx="5">
                  <c:v>9320.9812399999992</c:v>
                </c:pt>
                <c:pt idx="6">
                  <c:v>19592.12818</c:v>
                </c:pt>
                <c:pt idx="7">
                  <c:v>21093.477179999998</c:v>
                </c:pt>
                <c:pt idx="8">
                  <c:v>14489.743129999997</c:v>
                </c:pt>
              </c:numCache>
            </c:numRef>
          </c:val>
        </c:ser>
        <c:ser>
          <c:idx val="1"/>
          <c:order val="1"/>
          <c:tx>
            <c:strRef>
              <c:f>'Exhibit Firm Sales Volume'!$H$4</c:f>
              <c:strCache>
                <c:ptCount val="1"/>
                <c:pt idx="0">
                  <c:v>IRP Forecast (Normal)</c:v>
                </c:pt>
              </c:strCache>
            </c:strRef>
          </c:tx>
          <c:spPr>
            <a:ln>
              <a:solidFill>
                <a:sysClr val="windowText" lastClr="000000"/>
              </a:solidFill>
            </a:ln>
          </c:spPr>
          <c:invertIfNegative val="0"/>
          <c:dLbls>
            <c:dLbl>
              <c:idx val="1"/>
              <c:layout>
                <c:manualLayout>
                  <c:x val="8.9786756453423128E-3"/>
                  <c:y val="0"/>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1.1971567527123028E-2"/>
                  <c:y val="-1.1837368121219928E-16"/>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8.9786756453422573E-3"/>
                  <c:y val="0"/>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'Exhibit Firm Sales Volume'!$A$5:$A$13</c:f>
              <c:numCache>
                <c:formatCode>[$-409]mmm\-yy;@</c:formatCode>
                <c:ptCount val="9"/>
                <c:pt idx="0">
                  <c:v>42522</c:v>
                </c:pt>
                <c:pt idx="1">
                  <c:v>42552</c:v>
                </c:pt>
                <c:pt idx="2">
                  <c:v>42583</c:v>
                </c:pt>
                <c:pt idx="3">
                  <c:v>42614</c:v>
                </c:pt>
                <c:pt idx="4">
                  <c:v>42644</c:v>
                </c:pt>
                <c:pt idx="5">
                  <c:v>42675</c:v>
                </c:pt>
                <c:pt idx="6">
                  <c:v>42705</c:v>
                </c:pt>
                <c:pt idx="7">
                  <c:v>42736</c:v>
                </c:pt>
                <c:pt idx="8">
                  <c:v>42767</c:v>
                </c:pt>
              </c:numCache>
            </c:numRef>
          </c:cat>
          <c:val>
            <c:numRef>
              <c:f>'Exhibit Firm Sales Volume'!$C$5:$C$13</c:f>
              <c:numCache>
                <c:formatCode>_(* #,##0_);_(* \(#,##0\);_(* "-"??_);_(@_)</c:formatCode>
                <c:ptCount val="9"/>
                <c:pt idx="0">
                  <c:v>3238.8878755569458</c:v>
                </c:pt>
                <c:pt idx="1">
                  <c:v>2688.0368220806122</c:v>
                </c:pt>
                <c:pt idx="2">
                  <c:v>2567.4456295967102</c:v>
                </c:pt>
                <c:pt idx="3">
                  <c:v>2794.3660657405853</c:v>
                </c:pt>
                <c:pt idx="4">
                  <c:v>6967.0235066413879</c:v>
                </c:pt>
                <c:pt idx="5">
                  <c:v>11863.88521194458</c:v>
                </c:pt>
                <c:pt idx="6">
                  <c:v>18491.82447052002</c:v>
                </c:pt>
                <c:pt idx="7">
                  <c:v>19498.209446907043</c:v>
                </c:pt>
                <c:pt idx="8">
                  <c:v>15706.513312339783</c:v>
                </c:pt>
              </c:numCache>
            </c:numRef>
          </c:val>
        </c:ser>
        <c:dLbls>
          <c:showLegendKey val="0"/>
          <c:showVal val="0"/>
          <c:showCatName val="0"/>
          <c:showSerName val="0"/>
          <c:showPercent val="0"/>
          <c:showBubbleSize val="0"/>
        </c:dLbls>
        <c:gapWidth val="150"/>
        <c:axId val="213326256"/>
        <c:axId val="213326648"/>
      </c:barChart>
      <c:dateAx>
        <c:axId val="213326256"/>
        <c:scaling>
          <c:orientation val="minMax"/>
        </c:scaling>
        <c:delete val="0"/>
        <c:axPos val="b"/>
        <c:numFmt formatCode="mmm\-yy" sourceLinked="0"/>
        <c:majorTickMark val="out"/>
        <c:minorTickMark val="none"/>
        <c:tickLblPos val="nextTo"/>
        <c:txPr>
          <a:bodyPr/>
          <a:lstStyle/>
          <a:p>
            <a:pPr>
              <a:defRPr sz="1400"/>
            </a:pPr>
            <a:endParaRPr lang="en-US"/>
          </a:p>
        </c:txPr>
        <c:crossAx val="213326648"/>
        <c:crosses val="autoZero"/>
        <c:auto val="1"/>
        <c:lblOffset val="100"/>
        <c:baseTimeUnit val="months"/>
      </c:dateAx>
      <c:valAx>
        <c:axId val="213326648"/>
        <c:scaling>
          <c:orientation val="minMax"/>
          <c:min val="0"/>
        </c:scaling>
        <c:delete val="0"/>
        <c:axPos val="l"/>
        <c:majorGridlines/>
        <c:title>
          <c:tx>
            <c:rich>
              <a:bodyPr rot="-5400000" vert="horz"/>
              <a:lstStyle/>
              <a:p>
                <a:pPr>
                  <a:defRPr sz="1400"/>
                </a:pPr>
                <a:r>
                  <a:rPr lang="en-US" sz="1400"/>
                  <a:t>Mdth</a:t>
                </a:r>
              </a:p>
            </c:rich>
          </c:tx>
          <c:layout>
            <c:manualLayout>
              <c:xMode val="edge"/>
              <c:yMode val="edge"/>
              <c:x val="5.2584024342091761E-3"/>
              <c:y val="0.44061250258436935"/>
            </c:manualLayout>
          </c:layout>
          <c:overlay val="0"/>
        </c:title>
        <c:numFmt formatCode="#,##0" sourceLinked="0"/>
        <c:majorTickMark val="out"/>
        <c:minorTickMark val="none"/>
        <c:tickLblPos val="nextTo"/>
        <c:txPr>
          <a:bodyPr/>
          <a:lstStyle/>
          <a:p>
            <a:pPr>
              <a:defRPr sz="1400"/>
            </a:pPr>
            <a:endParaRPr lang="en-US"/>
          </a:p>
        </c:txPr>
        <c:crossAx val="213326256"/>
        <c:crosses val="autoZero"/>
        <c:crossBetween val="between"/>
      </c:valAx>
    </c:plotArea>
    <c:legend>
      <c:legendPos val="b"/>
      <c:legendEntry>
        <c:idx val="0"/>
        <c:txPr>
          <a:bodyPr/>
          <a:lstStyle/>
          <a:p>
            <a:pPr>
              <a:defRPr sz="1400"/>
            </a:pPr>
            <a:endParaRPr lang="en-US"/>
          </a:p>
        </c:txPr>
      </c:legendEntry>
      <c:legendEntry>
        <c:idx val="1"/>
        <c:txPr>
          <a:bodyPr/>
          <a:lstStyle/>
          <a:p>
            <a:pPr>
              <a:defRPr sz="1400"/>
            </a:pPr>
            <a:endParaRPr lang="en-US"/>
          </a:p>
        </c:txPr>
      </c:legendEntry>
      <c:layout>
        <c:manualLayout>
          <c:xMode val="edge"/>
          <c:yMode val="edge"/>
          <c:x val="0.6005845565600596"/>
          <c:y val="0.14052295200826051"/>
          <c:w val="0.30447561058234723"/>
          <c:h val="5.2532208018795795E-2"/>
        </c:manualLayout>
      </c:layout>
      <c:overlay val="1"/>
      <c:spPr>
        <a:solidFill>
          <a:sysClr val="window" lastClr="FFFFFF"/>
        </a:solidFill>
        <a:ln>
          <a:solidFill>
            <a:sysClr val="windowText" lastClr="000000"/>
          </a:solidFill>
        </a:ln>
        <a:effectLst>
          <a:outerShdw blurRad="50800" dist="50800" dir="5400000" algn="ctr" rotWithShape="0">
            <a:srgbClr val="000000"/>
          </a:outerShdw>
        </a:effectLst>
      </c:spPr>
      <c:txPr>
        <a:bodyPr/>
        <a:lstStyle/>
        <a:p>
          <a:pPr>
            <a:defRPr sz="1400"/>
          </a:pPr>
          <a:endParaRPr lang="en-US"/>
        </a:p>
      </c:txPr>
    </c:legend>
    <c:plotVisOnly val="1"/>
    <c:dispBlanksAs val="gap"/>
    <c:showDLblsOverMax val="0"/>
  </c:chart>
  <c:spPr>
    <a:ln>
      <a:noFill/>
    </a:ln>
  </c:spPr>
  <c:printSettings>
    <c:headerFooter/>
    <c:pageMargins b="0.75000000000001499" l="0.70000000000000095" r="0.70000000000000095" t="0.75000000000001499" header="0.3" footer="0.3"/>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40.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42.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44.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46.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48.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542925</xdr:colOff>
      <xdr:row>33</xdr:row>
      <xdr:rowOff>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0.00246</cdr:x>
      <cdr:y>0.00285</cdr:y>
    </cdr:from>
    <cdr:to>
      <cdr:x>0.99631</cdr:x>
      <cdr:y>0.10414</cdr:y>
    </cdr:to>
    <cdr:sp macro="" textlink="">
      <cdr:nvSpPr>
        <cdr:cNvPr id="2" name="TextBox 1"/>
        <cdr:cNvSpPr txBox="1"/>
      </cdr:nvSpPr>
      <cdr:spPr>
        <a:xfrm xmlns:a="http://schemas.openxmlformats.org/drawingml/2006/main">
          <a:off x="19050" y="19050"/>
          <a:ext cx="7686675" cy="6762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rtl="0"/>
          <a:r>
            <a:rPr lang="en-US" sz="1800" b="1" i="0" baseline="0">
              <a:effectLst/>
              <a:latin typeface="+mn-lt"/>
              <a:ea typeface="+mn-ea"/>
              <a:cs typeface="+mn-cs"/>
            </a:rPr>
            <a:t>Aquifer Month End Inventory</a:t>
          </a:r>
          <a:endParaRPr lang="en-US" sz="1800">
            <a:effectLst/>
          </a:endParaRPr>
        </a:p>
        <a:p xmlns:a="http://schemas.openxmlformats.org/drawingml/2006/main">
          <a:pPr algn="ctr" rtl="0" eaLnBrk="1" fontAlgn="auto" latinLnBrk="0" hangingPunct="1"/>
          <a:r>
            <a:rPr lang="en-US" sz="1100" b="1" i="0" baseline="0">
              <a:effectLst/>
              <a:latin typeface="+mn-lt"/>
              <a:ea typeface="+mn-ea"/>
              <a:cs typeface="+mn-cs"/>
            </a:rPr>
            <a:t>       </a:t>
          </a:r>
          <a:r>
            <a:rPr lang="en-US" sz="1800" b="1" i="0" baseline="0">
              <a:effectLst/>
              <a:latin typeface="+mn-lt"/>
              <a:ea typeface="+mn-ea"/>
              <a:cs typeface="+mn-cs"/>
            </a:rPr>
            <a:t>IRP Third Quarter:  December to February</a:t>
          </a:r>
          <a:endParaRPr lang="en-US" sz="3200">
            <a:effectLst/>
          </a:endParaRPr>
        </a:p>
        <a:p xmlns:a="http://schemas.openxmlformats.org/drawingml/2006/main">
          <a:pPr algn="ctr" rtl="0"/>
          <a:endParaRPr lang="en-US" sz="1800">
            <a:effectLst/>
          </a:endParaRPr>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19050</xdr:colOff>
      <xdr:row>0</xdr:row>
      <xdr:rowOff>0</xdr:rowOff>
    </xdr:from>
    <xdr:to>
      <xdr:col>14</xdr:col>
      <xdr:colOff>19049</xdr:colOff>
      <xdr:row>33</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0.71552</cdr:x>
      <cdr:y>0.02165</cdr:y>
    </cdr:from>
    <cdr:to>
      <cdr:x>0.99015</cdr:x>
      <cdr:y>0.07648</cdr:y>
    </cdr:to>
    <cdr:sp macro="" textlink="">
      <cdr:nvSpPr>
        <cdr:cNvPr id="2" name="TextBox 1"/>
        <cdr:cNvSpPr txBox="1"/>
      </cdr:nvSpPr>
      <cdr:spPr>
        <a:xfrm xmlns:a="http://schemas.openxmlformats.org/drawingml/2006/main">
          <a:off x="5534025" y="142875"/>
          <a:ext cx="2124075" cy="3619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0.00866</cdr:y>
    </cdr:from>
    <cdr:to>
      <cdr:x>0.99877</cdr:x>
      <cdr:y>0.11544</cdr:y>
    </cdr:to>
    <cdr:sp macro="" textlink="">
      <cdr:nvSpPr>
        <cdr:cNvPr id="3" name="TextBox 2"/>
        <cdr:cNvSpPr txBox="1"/>
      </cdr:nvSpPr>
      <cdr:spPr>
        <a:xfrm xmlns:a="http://schemas.openxmlformats.org/drawingml/2006/main">
          <a:off x="0" y="57170"/>
          <a:ext cx="7724786" cy="70483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rtl="0"/>
          <a:r>
            <a:rPr lang="en-US" sz="1800" b="1" i="0" baseline="0">
              <a:effectLst/>
              <a:latin typeface="+mn-lt"/>
              <a:ea typeface="+mn-ea"/>
              <a:cs typeface="+mn-cs"/>
            </a:rPr>
            <a:t>Clay Basin Month End Inventory</a:t>
          </a:r>
          <a:endParaRPr lang="en-US" sz="1800">
            <a:effectLst/>
          </a:endParaRPr>
        </a:p>
        <a:p xmlns:a="http://schemas.openxmlformats.org/drawingml/2006/main">
          <a:pPr algn="ctr" rtl="0"/>
          <a:r>
            <a:rPr lang="en-US" sz="1800" b="1" i="0" baseline="0">
              <a:effectLst/>
              <a:latin typeface="+mn-lt"/>
              <a:ea typeface="+mn-ea"/>
              <a:cs typeface="+mn-cs"/>
            </a:rPr>
            <a:t>Year to date  -  June 2016 to May 2017</a:t>
          </a:r>
          <a:endParaRPr lang="en-US" sz="3200">
            <a:effectLst/>
          </a:endParaRPr>
        </a:p>
        <a:p xmlns:a="http://schemas.openxmlformats.org/drawingml/2006/main">
          <a:endParaRPr lang="en-US" sz="1100"/>
        </a:p>
      </cdr:txBody>
    </cdr:sp>
  </cdr:relSizeAnchor>
</c:userShapes>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0</xdr:colOff>
      <xdr:row>32</xdr:row>
      <xdr:rowOff>76200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0.00246</cdr:x>
      <cdr:y>0.0058</cdr:y>
    </cdr:from>
    <cdr:to>
      <cdr:x>0.99631</cdr:x>
      <cdr:y>0.11014</cdr:y>
    </cdr:to>
    <cdr:sp macro="" textlink="">
      <cdr:nvSpPr>
        <cdr:cNvPr id="2" name="TextBox 1"/>
        <cdr:cNvSpPr txBox="1"/>
      </cdr:nvSpPr>
      <cdr:spPr>
        <a:xfrm xmlns:a="http://schemas.openxmlformats.org/drawingml/2006/main">
          <a:off x="19026" y="38120"/>
          <a:ext cx="7686734" cy="6857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rtl="0"/>
          <a:r>
            <a:rPr lang="en-US" sz="1800" b="1" i="0" baseline="0">
              <a:effectLst/>
              <a:latin typeface="+mn-lt"/>
              <a:ea typeface="+mn-ea"/>
              <a:cs typeface="+mn-cs"/>
            </a:rPr>
            <a:t>Aquifer Month End Inventory</a:t>
          </a:r>
          <a:endParaRPr lang="en-US" sz="1800">
            <a:effectLst/>
          </a:endParaRPr>
        </a:p>
        <a:p xmlns:a="http://schemas.openxmlformats.org/drawingml/2006/main">
          <a:pPr algn="ctr" rtl="0"/>
          <a:r>
            <a:rPr lang="en-US" sz="1800" b="1" i="0" baseline="0">
              <a:effectLst/>
              <a:latin typeface="+mn-lt"/>
              <a:ea typeface="+mn-ea"/>
              <a:cs typeface="+mn-cs"/>
            </a:rPr>
            <a:t>Year to date  -  June 2016 to May 2017</a:t>
          </a:r>
          <a:endParaRPr lang="en-US" sz="3200">
            <a:effectLst/>
          </a:endParaRPr>
        </a:p>
        <a:p xmlns:a="http://schemas.openxmlformats.org/drawingml/2006/main">
          <a:endParaRPr lang="en-US" sz="1100"/>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0</xdr:colOff>
      <xdr:row>0</xdr:row>
      <xdr:rowOff>1</xdr:rowOff>
    </xdr:from>
    <xdr:to>
      <xdr:col>13</xdr:col>
      <xdr:colOff>790575</xdr:colOff>
      <xdr:row>32</xdr:row>
      <xdr:rowOff>95250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1</xdr:rowOff>
    </xdr:from>
    <xdr:to>
      <xdr:col>13</xdr:col>
      <xdr:colOff>1390650</xdr:colOff>
      <xdr:row>33</xdr:row>
      <xdr:rowOff>133350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1</xdr:rowOff>
    </xdr:from>
    <xdr:to>
      <xdr:col>13</xdr:col>
      <xdr:colOff>1343025</xdr:colOff>
      <xdr:row>32</xdr:row>
      <xdr:rowOff>19050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9526</xdr:colOff>
      <xdr:row>0</xdr:row>
      <xdr:rowOff>57150</xdr:rowOff>
    </xdr:from>
    <xdr:to>
      <xdr:col>14</xdr:col>
      <xdr:colOff>1</xdr:colOff>
      <xdr:row>32</xdr:row>
      <xdr:rowOff>38100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cdr:x>
      <cdr:y>0</cdr:y>
    </cdr:from>
    <cdr:to>
      <cdr:x>0.99876</cdr:x>
      <cdr:y>0.11014</cdr:y>
    </cdr:to>
    <cdr:sp macro="" textlink="">
      <cdr:nvSpPr>
        <cdr:cNvPr id="2" name="TextBox 1"/>
        <cdr:cNvSpPr txBox="1"/>
      </cdr:nvSpPr>
      <cdr:spPr>
        <a:xfrm xmlns:a="http://schemas.openxmlformats.org/drawingml/2006/main">
          <a:off x="0" y="0"/>
          <a:ext cx="7677144" cy="7239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rtl="0"/>
          <a:r>
            <a:rPr lang="en-US" sz="1800" b="1" i="0" baseline="0">
              <a:effectLst/>
              <a:latin typeface="+mn-lt"/>
              <a:ea typeface="+mn-ea"/>
              <a:cs typeface="+mn-cs"/>
            </a:rPr>
            <a:t>Purchased Gas Variance</a:t>
          </a:r>
          <a:endParaRPr lang="en-US" sz="1800">
            <a:effectLst/>
          </a:endParaRPr>
        </a:p>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800" b="1" i="0" baseline="0">
              <a:effectLst/>
              <a:latin typeface="+mn-lt"/>
              <a:ea typeface="+mn-ea"/>
              <a:cs typeface="+mn-cs"/>
            </a:rPr>
            <a:t>IRP Third Quarter: December to February</a:t>
          </a:r>
          <a:endParaRPr lang="en-US" sz="1800">
            <a:effectLst/>
          </a:endParaRPr>
        </a:p>
        <a:p xmlns:a="http://schemas.openxmlformats.org/drawingml/2006/main">
          <a:endParaRPr lang="en-US" sz="1100"/>
        </a:p>
      </cdr:txBody>
    </cdr:sp>
  </cdr:relSizeAnchor>
</c:userShapes>
</file>

<file path=xl/drawings/drawing2.xml><?xml version="1.0" encoding="utf-8"?>
<c:userShapes xmlns:c="http://schemas.openxmlformats.org/drawingml/2006/chart">
  <cdr:relSizeAnchor xmlns:cdr="http://schemas.openxmlformats.org/drawingml/2006/chartDrawing">
    <cdr:from>
      <cdr:x>0.76202</cdr:x>
      <cdr:y>0.02282</cdr:y>
    </cdr:from>
    <cdr:to>
      <cdr:x>0.97781</cdr:x>
      <cdr:y>0.10699</cdr:y>
    </cdr:to>
    <cdr:sp macro="" textlink="">
      <cdr:nvSpPr>
        <cdr:cNvPr id="2" name="TextBox 1"/>
        <cdr:cNvSpPr txBox="1"/>
      </cdr:nvSpPr>
      <cdr:spPr>
        <a:xfrm xmlns:a="http://schemas.openxmlformats.org/drawingml/2006/main">
          <a:off x="5886450" y="152400"/>
          <a:ext cx="1666875" cy="561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0.00247</cdr:x>
      <cdr:y>0.0214</cdr:y>
    </cdr:from>
    <cdr:to>
      <cdr:x>0.9963</cdr:x>
      <cdr:y>0.12411</cdr:y>
    </cdr:to>
    <cdr:sp macro="" textlink="">
      <cdr:nvSpPr>
        <cdr:cNvPr id="3" name="TextBox 2"/>
        <cdr:cNvSpPr txBox="1"/>
      </cdr:nvSpPr>
      <cdr:spPr>
        <a:xfrm xmlns:a="http://schemas.openxmlformats.org/drawingml/2006/main">
          <a:off x="19050" y="142875"/>
          <a:ext cx="7677150" cy="6858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rtl="0"/>
          <a:r>
            <a:rPr lang="en-US" sz="1800" b="1" i="0" baseline="0">
              <a:effectLst/>
              <a:latin typeface="+mn-lt"/>
              <a:ea typeface="+mn-ea"/>
              <a:cs typeface="+mn-cs"/>
            </a:rPr>
            <a:t>Heating Degree Day Variance</a:t>
          </a:r>
          <a:endParaRPr lang="en-US" sz="1800">
            <a:effectLst/>
          </a:endParaRPr>
        </a:p>
        <a:p xmlns:a="http://schemas.openxmlformats.org/drawingml/2006/main">
          <a:pPr algn="ctr" rtl="0"/>
          <a:r>
            <a:rPr lang="en-US" sz="1800" b="1" i="0" baseline="0">
              <a:effectLst/>
              <a:latin typeface="+mn-lt"/>
              <a:ea typeface="+mn-ea"/>
              <a:cs typeface="+mn-cs"/>
            </a:rPr>
            <a:t>IRP Third Quarter:  December to February</a:t>
          </a:r>
          <a:endParaRPr lang="en-US" sz="1400"/>
        </a:p>
      </cdr:txBody>
    </cdr:sp>
  </cdr:relSizeAnchor>
</c:userShapes>
</file>

<file path=xl/drawings/drawing20.xml><?xml version="1.0" encoding="utf-8"?>
<xdr:wsDr xmlns:xdr="http://schemas.openxmlformats.org/drawingml/2006/spreadsheetDrawing" xmlns:a="http://schemas.openxmlformats.org/drawingml/2006/main">
  <xdr:twoCellAnchor>
    <xdr:from>
      <xdr:col>0</xdr:col>
      <xdr:colOff>0</xdr:colOff>
      <xdr:row>0</xdr:row>
      <xdr:rowOff>28574</xdr:rowOff>
    </xdr:from>
    <xdr:to>
      <xdr:col>13</xdr:col>
      <xdr:colOff>466725</xdr:colOff>
      <xdr:row>32</xdr:row>
      <xdr:rowOff>123824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0.00375</cdr:x>
      <cdr:y>0.00287</cdr:y>
    </cdr:from>
    <cdr:to>
      <cdr:x>0.9975</cdr:x>
      <cdr:y>0.12195</cdr:y>
    </cdr:to>
    <cdr:sp macro="" textlink="">
      <cdr:nvSpPr>
        <cdr:cNvPr id="2" name="TextBox 1"/>
        <cdr:cNvSpPr txBox="1"/>
      </cdr:nvSpPr>
      <cdr:spPr>
        <a:xfrm xmlns:a="http://schemas.openxmlformats.org/drawingml/2006/main">
          <a:off x="28575" y="19051"/>
          <a:ext cx="7581900" cy="7905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rtl="0"/>
          <a:r>
            <a:rPr lang="en-US" sz="1800" b="1" i="0" baseline="0">
              <a:effectLst/>
              <a:latin typeface="+mn-lt"/>
              <a:ea typeface="+mn-ea"/>
              <a:cs typeface="+mn-cs"/>
            </a:rPr>
            <a:t>Purchased Gas Variance</a:t>
          </a:r>
          <a:endParaRPr lang="en-US" sz="1800">
            <a:effectLst/>
          </a:endParaRPr>
        </a:p>
        <a:p xmlns:a="http://schemas.openxmlformats.org/drawingml/2006/main">
          <a:pPr algn="ctr" rtl="0"/>
          <a:r>
            <a:rPr lang="en-US" sz="1800" b="1" i="0" baseline="0">
              <a:effectLst/>
              <a:latin typeface="+mn-lt"/>
              <a:ea typeface="+mn-ea"/>
              <a:cs typeface="+mn-cs"/>
            </a:rPr>
            <a:t>Year to date  -  June 2016 to May 2017</a:t>
          </a:r>
          <a:endParaRPr lang="en-US" sz="1800">
            <a:effectLst/>
          </a:endParaRPr>
        </a:p>
        <a:p xmlns:a="http://schemas.openxmlformats.org/drawingml/2006/main">
          <a:endParaRPr lang="en-US" sz="1100"/>
        </a:p>
      </cdr:txBody>
    </cdr:sp>
  </cdr:relSizeAnchor>
</c:userShapes>
</file>

<file path=xl/drawings/drawing22.xml><?xml version="1.0" encoding="utf-8"?>
<xdr:wsDr xmlns:xdr="http://schemas.openxmlformats.org/drawingml/2006/spreadsheetDrawing" xmlns:a="http://schemas.openxmlformats.org/drawingml/2006/main">
  <xdr:twoCellAnchor>
    <xdr:from>
      <xdr:col>0</xdr:col>
      <xdr:colOff>38100</xdr:colOff>
      <xdr:row>0</xdr:row>
      <xdr:rowOff>19050</xdr:rowOff>
    </xdr:from>
    <xdr:to>
      <xdr:col>13</xdr:col>
      <xdr:colOff>533400</xdr:colOff>
      <xdr:row>34</xdr:row>
      <xdr:rowOff>142875</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cdr:x>
      <cdr:y>0.01509</cdr:y>
    </cdr:from>
    <cdr:to>
      <cdr:x>0.99752</cdr:x>
      <cdr:y>0.11385</cdr:y>
    </cdr:to>
    <cdr:sp macro="" textlink="">
      <cdr:nvSpPr>
        <cdr:cNvPr id="2" name="TextBox 1"/>
        <cdr:cNvSpPr txBox="1"/>
      </cdr:nvSpPr>
      <cdr:spPr>
        <a:xfrm xmlns:a="http://schemas.openxmlformats.org/drawingml/2006/main">
          <a:off x="0" y="104775"/>
          <a:ext cx="7658100" cy="6858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rtl="0"/>
          <a:r>
            <a:rPr lang="en-US" sz="1800" b="1" i="0" baseline="0">
              <a:effectLst/>
              <a:latin typeface="+mn-lt"/>
              <a:ea typeface="+mn-ea"/>
              <a:cs typeface="+mn-cs"/>
            </a:rPr>
            <a:t>Purchased Gas Variance</a:t>
          </a:r>
          <a:endParaRPr lang="en-US" sz="1800">
            <a:effectLst/>
          </a:endParaRPr>
        </a:p>
        <a:p xmlns:a="http://schemas.openxmlformats.org/drawingml/2006/main">
          <a:pPr algn="ctr" rtl="0"/>
          <a:r>
            <a:rPr lang="en-US" sz="1800" b="1" i="0" baseline="0">
              <a:effectLst/>
              <a:latin typeface="+mn-lt"/>
              <a:ea typeface="+mn-ea"/>
              <a:cs typeface="+mn-cs"/>
            </a:rPr>
            <a:t>Cumulative Year-to-date  June 2016 to Present</a:t>
          </a:r>
          <a:endParaRPr lang="en-US" sz="1800">
            <a:effectLst/>
          </a:endParaRPr>
        </a:p>
        <a:p xmlns:a="http://schemas.openxmlformats.org/drawingml/2006/main">
          <a:endParaRPr lang="en-US" sz="1100"/>
        </a:p>
      </cdr:txBody>
    </cdr:sp>
  </cdr:relSizeAnchor>
</c:userShapes>
</file>

<file path=xl/drawings/drawing24.xml><?xml version="1.0" encoding="utf-8"?>
<xdr:wsDr xmlns:xdr="http://schemas.openxmlformats.org/drawingml/2006/spreadsheetDrawing" xmlns:a="http://schemas.openxmlformats.org/drawingml/2006/main">
  <xdr:twoCellAnchor>
    <xdr:from>
      <xdr:col>0</xdr:col>
      <xdr:colOff>0</xdr:colOff>
      <xdr:row>0</xdr:row>
      <xdr:rowOff>1</xdr:rowOff>
    </xdr:from>
    <xdr:to>
      <xdr:col>13</xdr:col>
      <xdr:colOff>523875</xdr:colOff>
      <xdr:row>33</xdr:row>
      <xdr:rowOff>66675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c:userShapes xmlns:c="http://schemas.openxmlformats.org/drawingml/2006/chart">
  <cdr:relSizeAnchor xmlns:cdr="http://schemas.openxmlformats.org/drawingml/2006/chartDrawing">
    <cdr:from>
      <cdr:x>0.00124</cdr:x>
      <cdr:y>0.00424</cdr:y>
    </cdr:from>
    <cdr:to>
      <cdr:x>0.99753</cdr:x>
      <cdr:y>0.11864</cdr:y>
    </cdr:to>
    <cdr:sp macro="" textlink="">
      <cdr:nvSpPr>
        <cdr:cNvPr id="2" name="TextBox 1"/>
        <cdr:cNvSpPr txBox="1"/>
      </cdr:nvSpPr>
      <cdr:spPr>
        <a:xfrm xmlns:a="http://schemas.openxmlformats.org/drawingml/2006/main">
          <a:off x="9525" y="28574"/>
          <a:ext cx="7677149" cy="7715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rtl="0"/>
          <a:r>
            <a:rPr lang="en-US" sz="1800" b="1" i="0" baseline="0">
              <a:effectLst/>
              <a:latin typeface="+mn-lt"/>
              <a:ea typeface="+mn-ea"/>
              <a:cs typeface="+mn-cs"/>
            </a:rPr>
            <a:t>Purchased Gas Cost Variance</a:t>
          </a:r>
          <a:endParaRPr lang="en-US" sz="1800">
            <a:effectLst/>
          </a:endParaRPr>
        </a:p>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800" b="1" i="0" baseline="0">
              <a:effectLst/>
              <a:latin typeface="+mn-lt"/>
              <a:ea typeface="+mn-ea"/>
              <a:cs typeface="+mn-cs"/>
            </a:rPr>
            <a:t>IRP Third Quarter:  December to February</a:t>
          </a:r>
          <a:endParaRPr lang="en-US" sz="1800">
            <a:effectLst/>
          </a:endParaRPr>
        </a:p>
        <a:p xmlns:a="http://schemas.openxmlformats.org/drawingml/2006/main">
          <a:pPr algn="ctr" rtl="0"/>
          <a:endParaRPr lang="en-US" sz="1800">
            <a:effectLst/>
          </a:endParaRPr>
        </a:p>
        <a:p xmlns:a="http://schemas.openxmlformats.org/drawingml/2006/main">
          <a:endParaRPr lang="en-US" sz="1100"/>
        </a:p>
      </cdr:txBody>
    </cdr:sp>
  </cdr:relSizeAnchor>
</c:userShapes>
</file>

<file path=xl/drawings/drawing26.xml><?xml version="1.0" encoding="utf-8"?>
<xdr:wsDr xmlns:xdr="http://schemas.openxmlformats.org/drawingml/2006/spreadsheetDrawing" xmlns:a="http://schemas.openxmlformats.org/drawingml/2006/main">
  <xdr:twoCellAnchor>
    <xdr:from>
      <xdr:col>0</xdr:col>
      <xdr:colOff>0</xdr:colOff>
      <xdr:row>0</xdr:row>
      <xdr:rowOff>28575</xdr:rowOff>
    </xdr:from>
    <xdr:to>
      <xdr:col>14</xdr:col>
      <xdr:colOff>0</xdr:colOff>
      <xdr:row>34</xdr:row>
      <xdr:rowOff>9526</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c:userShapes xmlns:c="http://schemas.openxmlformats.org/drawingml/2006/chart">
  <cdr:relSizeAnchor xmlns:cdr="http://schemas.openxmlformats.org/drawingml/2006/chartDrawing">
    <cdr:from>
      <cdr:x>0.00123</cdr:x>
      <cdr:y>0.00844</cdr:y>
    </cdr:from>
    <cdr:to>
      <cdr:x>1</cdr:x>
      <cdr:y>0.12236</cdr:y>
    </cdr:to>
    <cdr:sp macro="" textlink="">
      <cdr:nvSpPr>
        <cdr:cNvPr id="2" name="TextBox 1"/>
        <cdr:cNvSpPr txBox="1"/>
      </cdr:nvSpPr>
      <cdr:spPr>
        <a:xfrm xmlns:a="http://schemas.openxmlformats.org/drawingml/2006/main">
          <a:off x="9525" y="57151"/>
          <a:ext cx="7724775" cy="7715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rtl="0"/>
          <a:r>
            <a:rPr lang="en-US" sz="1800" b="1" i="0" baseline="0">
              <a:effectLst/>
              <a:latin typeface="+mn-lt"/>
              <a:ea typeface="+mn-ea"/>
              <a:cs typeface="+mn-cs"/>
            </a:rPr>
            <a:t>Purchased Gas Cost Variance</a:t>
          </a:r>
          <a:endParaRPr lang="en-US" sz="1800">
            <a:effectLst/>
          </a:endParaRPr>
        </a:p>
        <a:p xmlns:a="http://schemas.openxmlformats.org/drawingml/2006/main">
          <a:pPr algn="ctr" rtl="0"/>
          <a:r>
            <a:rPr lang="en-US" sz="1800" b="1" i="0" baseline="0">
              <a:effectLst/>
              <a:latin typeface="+mn-lt"/>
              <a:ea typeface="+mn-ea"/>
              <a:cs typeface="+mn-cs"/>
            </a:rPr>
            <a:t>Year to date  -  June 2016 to May 2017</a:t>
          </a:r>
          <a:endParaRPr lang="en-US" sz="1800">
            <a:effectLst/>
          </a:endParaRPr>
        </a:p>
        <a:p xmlns:a="http://schemas.openxmlformats.org/drawingml/2006/main">
          <a:endParaRPr lang="en-US" sz="1100"/>
        </a:p>
      </cdr:txBody>
    </cdr:sp>
  </cdr:relSizeAnchor>
</c:userShapes>
</file>

<file path=xl/drawings/drawing28.xml><?xml version="1.0" encoding="utf-8"?>
<xdr:wsDr xmlns:xdr="http://schemas.openxmlformats.org/drawingml/2006/spreadsheetDrawing" xmlns:a="http://schemas.openxmlformats.org/drawingml/2006/main">
  <xdr:twoCellAnchor>
    <xdr:from>
      <xdr:col>0</xdr:col>
      <xdr:colOff>0</xdr:colOff>
      <xdr:row>0</xdr:row>
      <xdr:rowOff>2</xdr:rowOff>
    </xdr:from>
    <xdr:to>
      <xdr:col>13</xdr:col>
      <xdr:colOff>533400</xdr:colOff>
      <xdr:row>33</xdr:row>
      <xdr:rowOff>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c:userShapes xmlns:c="http://schemas.openxmlformats.org/drawingml/2006/chart">
  <cdr:relSizeAnchor xmlns:cdr="http://schemas.openxmlformats.org/drawingml/2006/chartDrawing">
    <cdr:from>
      <cdr:x>0</cdr:x>
      <cdr:y>0.02332</cdr:y>
    </cdr:from>
    <cdr:to>
      <cdr:x>0.99753</cdr:x>
      <cdr:y>0.12828</cdr:y>
    </cdr:to>
    <cdr:sp macro="" textlink="">
      <cdr:nvSpPr>
        <cdr:cNvPr id="2" name="TextBox 1"/>
        <cdr:cNvSpPr txBox="1"/>
      </cdr:nvSpPr>
      <cdr:spPr>
        <a:xfrm xmlns:a="http://schemas.openxmlformats.org/drawingml/2006/main">
          <a:off x="0" y="152397"/>
          <a:ext cx="7696200" cy="68580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rtl="0"/>
          <a:r>
            <a:rPr lang="en-US" sz="1800" b="1" i="0" baseline="0">
              <a:effectLst/>
              <a:latin typeface="+mn-lt"/>
              <a:ea typeface="+mn-ea"/>
              <a:cs typeface="+mn-cs"/>
            </a:rPr>
            <a:t>Purchased Gas Cost Variance</a:t>
          </a:r>
          <a:endParaRPr lang="en-US" sz="1800">
            <a:effectLst/>
          </a:endParaRPr>
        </a:p>
        <a:p xmlns:a="http://schemas.openxmlformats.org/drawingml/2006/main">
          <a:pPr algn="ctr" rtl="0"/>
          <a:r>
            <a:rPr lang="en-US" sz="1800" b="1" i="0" baseline="0">
              <a:effectLst/>
              <a:latin typeface="+mn-lt"/>
              <a:ea typeface="+mn-ea"/>
              <a:cs typeface="+mn-cs"/>
            </a:rPr>
            <a:t>Cumulative Year-to-date  June 2016 to Present</a:t>
          </a:r>
          <a:endParaRPr lang="en-US" sz="1800">
            <a:effectLst/>
          </a:endParaRPr>
        </a:p>
        <a:p xmlns:a="http://schemas.openxmlformats.org/drawingml/2006/main">
          <a:endParaRPr lang="en-US" sz="1100"/>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9525</xdr:colOff>
      <xdr:row>0</xdr:row>
      <xdr:rowOff>19050</xdr:rowOff>
    </xdr:from>
    <xdr:to>
      <xdr:col>13</xdr:col>
      <xdr:colOff>485775</xdr:colOff>
      <xdr:row>33</xdr:row>
      <xdr:rowOff>9525</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0</xdr:col>
      <xdr:colOff>9526</xdr:colOff>
      <xdr:row>0</xdr:row>
      <xdr:rowOff>28575</xdr:rowOff>
    </xdr:from>
    <xdr:to>
      <xdr:col>13</xdr:col>
      <xdr:colOff>523876</xdr:colOff>
      <xdr:row>33</xdr:row>
      <xdr:rowOff>19050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c:userShapes xmlns:c="http://schemas.openxmlformats.org/drawingml/2006/chart">
  <cdr:relSizeAnchor xmlns:cdr="http://schemas.openxmlformats.org/drawingml/2006/chartDrawing">
    <cdr:from>
      <cdr:x>0.0099</cdr:x>
      <cdr:y>0.00714</cdr:y>
    </cdr:from>
    <cdr:to>
      <cdr:x>0.99629</cdr:x>
      <cdr:y>0.11</cdr:y>
    </cdr:to>
    <cdr:sp macro="" textlink="">
      <cdr:nvSpPr>
        <cdr:cNvPr id="2" name="TextBox 1"/>
        <cdr:cNvSpPr txBox="1"/>
      </cdr:nvSpPr>
      <cdr:spPr>
        <a:xfrm xmlns:a="http://schemas.openxmlformats.org/drawingml/2006/main">
          <a:off x="76199" y="47626"/>
          <a:ext cx="7591425" cy="6857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rtl="0" eaLnBrk="1" fontAlgn="auto" latinLnBrk="0" hangingPunct="1"/>
          <a:r>
            <a:rPr lang="en-US" sz="1800" b="1" i="0" baseline="0">
              <a:effectLst/>
              <a:latin typeface="+mn-lt"/>
              <a:ea typeface="+mn-ea"/>
              <a:cs typeface="+mn-cs"/>
            </a:rPr>
            <a:t>Purchased Gas Unit Cost Variance</a:t>
          </a:r>
          <a:endParaRPr lang="en-US" sz="1800">
            <a:effectLst/>
          </a:endParaRPr>
        </a:p>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800" b="1" i="0" baseline="0">
              <a:effectLst/>
              <a:latin typeface="+mn-lt"/>
              <a:ea typeface="+mn-ea"/>
              <a:cs typeface="+mn-cs"/>
            </a:rPr>
            <a:t>IRP Third Quarter:  December to February</a:t>
          </a:r>
          <a:endParaRPr lang="en-US" sz="1800">
            <a:effectLst/>
          </a:endParaRPr>
        </a:p>
        <a:p xmlns:a="http://schemas.openxmlformats.org/drawingml/2006/main">
          <a:pPr algn="ctr" rtl="0"/>
          <a:endParaRPr lang="en-US" sz="1800">
            <a:effectLst/>
          </a:endParaRPr>
        </a:p>
        <a:p xmlns:a="http://schemas.openxmlformats.org/drawingml/2006/main">
          <a:endParaRPr lang="en-US" sz="1100"/>
        </a:p>
      </cdr:txBody>
    </cdr:sp>
  </cdr:relSizeAnchor>
</c:userShapes>
</file>

<file path=xl/drawings/drawing32.xml><?xml version="1.0" encoding="utf-8"?>
<xdr:wsDr xmlns:xdr="http://schemas.openxmlformats.org/drawingml/2006/spreadsheetDrawing" xmlns:a="http://schemas.openxmlformats.org/drawingml/2006/main">
  <xdr:twoCellAnchor>
    <xdr:from>
      <xdr:col>0</xdr:col>
      <xdr:colOff>1</xdr:colOff>
      <xdr:row>0</xdr:row>
      <xdr:rowOff>0</xdr:rowOff>
    </xdr:from>
    <xdr:to>
      <xdr:col>14</xdr:col>
      <xdr:colOff>0</xdr:colOff>
      <xdr:row>33</xdr:row>
      <xdr:rowOff>66675</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c:userShapes xmlns:c="http://schemas.openxmlformats.org/drawingml/2006/chart">
  <cdr:relSizeAnchor xmlns:cdr="http://schemas.openxmlformats.org/drawingml/2006/chartDrawing">
    <cdr:from>
      <cdr:x>0.70443</cdr:x>
      <cdr:y>0.01969</cdr:y>
    </cdr:from>
    <cdr:to>
      <cdr:x>1</cdr:x>
      <cdr:y>0.11955</cdr:y>
    </cdr:to>
    <cdr:sp macro="" textlink="">
      <cdr:nvSpPr>
        <cdr:cNvPr id="2" name="TextBox 1"/>
        <cdr:cNvSpPr txBox="1"/>
      </cdr:nvSpPr>
      <cdr:spPr>
        <a:xfrm xmlns:a="http://schemas.openxmlformats.org/drawingml/2006/main">
          <a:off x="6067424" y="133350"/>
          <a:ext cx="2286000" cy="6762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0.00123</cdr:x>
      <cdr:y>0.00844</cdr:y>
    </cdr:from>
    <cdr:to>
      <cdr:x>0.99877</cdr:x>
      <cdr:y>0.11814</cdr:y>
    </cdr:to>
    <cdr:sp macro="" textlink="">
      <cdr:nvSpPr>
        <cdr:cNvPr id="3" name="TextBox 2"/>
        <cdr:cNvSpPr txBox="1"/>
      </cdr:nvSpPr>
      <cdr:spPr>
        <a:xfrm xmlns:a="http://schemas.openxmlformats.org/drawingml/2006/main">
          <a:off x="9513" y="57158"/>
          <a:ext cx="7715273" cy="74294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rtl="0"/>
          <a:r>
            <a:rPr lang="en-US" sz="1800" b="1" i="0" baseline="0">
              <a:effectLst/>
              <a:latin typeface="+mn-lt"/>
              <a:ea typeface="+mn-ea"/>
              <a:cs typeface="+mn-cs"/>
            </a:rPr>
            <a:t>Purchased Gas Unit Cost Variance</a:t>
          </a:r>
          <a:endParaRPr lang="en-US" sz="1800">
            <a:effectLst/>
          </a:endParaRPr>
        </a:p>
        <a:p xmlns:a="http://schemas.openxmlformats.org/drawingml/2006/main">
          <a:pPr algn="ctr" rtl="0"/>
          <a:r>
            <a:rPr lang="en-US" sz="1800" b="1" i="0" baseline="0">
              <a:effectLst/>
              <a:latin typeface="+mn-lt"/>
              <a:ea typeface="+mn-ea"/>
              <a:cs typeface="+mn-cs"/>
            </a:rPr>
            <a:t>Year to date  -  June 2016 to Present</a:t>
          </a:r>
          <a:endParaRPr lang="en-US" sz="1800">
            <a:effectLst/>
          </a:endParaRPr>
        </a:p>
        <a:p xmlns:a="http://schemas.openxmlformats.org/drawingml/2006/main">
          <a:endParaRPr lang="en-US" sz="1100"/>
        </a:p>
      </cdr:txBody>
    </cdr:sp>
  </cdr:relSizeAnchor>
</c:userShapes>
</file>

<file path=xl/drawings/drawing34.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0</xdr:colOff>
      <xdr:row>34</xdr:row>
      <xdr:rowOff>85724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5.xml><?xml version="1.0" encoding="utf-8"?>
<c:userShapes xmlns:c="http://schemas.openxmlformats.org/drawingml/2006/chart">
  <cdr:relSizeAnchor xmlns:cdr="http://schemas.openxmlformats.org/drawingml/2006/chartDrawing">
    <cdr:from>
      <cdr:x>0.00369</cdr:x>
      <cdr:y>0</cdr:y>
    </cdr:from>
    <cdr:to>
      <cdr:x>1</cdr:x>
      <cdr:y>0.10724</cdr:y>
    </cdr:to>
    <cdr:sp macro="" textlink="">
      <cdr:nvSpPr>
        <cdr:cNvPr id="2" name="TextBox 1"/>
        <cdr:cNvSpPr txBox="1"/>
      </cdr:nvSpPr>
      <cdr:spPr>
        <a:xfrm xmlns:a="http://schemas.openxmlformats.org/drawingml/2006/main">
          <a:off x="28575" y="0"/>
          <a:ext cx="7705725" cy="7334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rtl="0" eaLnBrk="1" fontAlgn="auto" latinLnBrk="0" hangingPunct="1"/>
          <a:r>
            <a:rPr lang="en-US" sz="1800" b="1" i="0" baseline="0">
              <a:effectLst/>
              <a:latin typeface="+mn-lt"/>
              <a:ea typeface="+mn-ea"/>
              <a:cs typeface="+mn-cs"/>
            </a:rPr>
            <a:t>Cost-of-Service Gas Variance</a:t>
          </a:r>
          <a:endParaRPr lang="en-US" sz="1800">
            <a:effectLst/>
          </a:endParaRPr>
        </a:p>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800" b="1" i="0" baseline="0">
              <a:effectLst/>
              <a:latin typeface="+mn-lt"/>
              <a:ea typeface="+mn-ea"/>
              <a:cs typeface="+mn-cs"/>
            </a:rPr>
            <a:t>IRP Third Quarter:  December to February</a:t>
          </a:r>
          <a:endParaRPr lang="en-US" sz="1800">
            <a:effectLst/>
          </a:endParaRPr>
        </a:p>
      </cdr:txBody>
    </cdr:sp>
  </cdr:relSizeAnchor>
</c:userShapes>
</file>

<file path=xl/drawings/drawing36.xml><?xml version="1.0" encoding="utf-8"?>
<xdr:wsDr xmlns:xdr="http://schemas.openxmlformats.org/drawingml/2006/spreadsheetDrawing" xmlns:a="http://schemas.openxmlformats.org/drawingml/2006/main">
  <xdr:twoCellAnchor>
    <xdr:from>
      <xdr:col>0</xdr:col>
      <xdr:colOff>1</xdr:colOff>
      <xdr:row>0</xdr:row>
      <xdr:rowOff>0</xdr:rowOff>
    </xdr:from>
    <xdr:to>
      <xdr:col>14</xdr:col>
      <xdr:colOff>1</xdr:colOff>
      <xdr:row>33</xdr:row>
      <xdr:rowOff>76200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7.xml><?xml version="1.0" encoding="utf-8"?>
<c:userShapes xmlns:c="http://schemas.openxmlformats.org/drawingml/2006/chart">
  <cdr:relSizeAnchor xmlns:cdr="http://schemas.openxmlformats.org/drawingml/2006/chartDrawing">
    <cdr:from>
      <cdr:x>0.00369</cdr:x>
      <cdr:y>0.00562</cdr:y>
    </cdr:from>
    <cdr:to>
      <cdr:x>0.9766</cdr:x>
      <cdr:y>0.1236</cdr:y>
    </cdr:to>
    <cdr:sp macro="" textlink="">
      <cdr:nvSpPr>
        <cdr:cNvPr id="2" name="TextBox 1"/>
        <cdr:cNvSpPr txBox="1"/>
      </cdr:nvSpPr>
      <cdr:spPr>
        <a:xfrm xmlns:a="http://schemas.openxmlformats.org/drawingml/2006/main">
          <a:off x="28575" y="38100"/>
          <a:ext cx="7524750" cy="8001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rtl="0"/>
          <a:r>
            <a:rPr lang="en-US" sz="1800" b="1" i="0" baseline="0">
              <a:effectLst/>
              <a:latin typeface="+mn-lt"/>
              <a:ea typeface="+mn-ea"/>
              <a:cs typeface="+mn-cs"/>
            </a:rPr>
            <a:t>Cost-of-Service Gas Variance</a:t>
          </a:r>
          <a:endParaRPr lang="en-US" sz="1800">
            <a:effectLst/>
          </a:endParaRPr>
        </a:p>
        <a:p xmlns:a="http://schemas.openxmlformats.org/drawingml/2006/main">
          <a:pPr algn="ctr" rtl="0"/>
          <a:r>
            <a:rPr lang="en-US" sz="1800" b="1" i="0" baseline="0">
              <a:effectLst/>
              <a:latin typeface="+mn-lt"/>
              <a:ea typeface="+mn-ea"/>
              <a:cs typeface="+mn-cs"/>
            </a:rPr>
            <a:t>Year to date  -  June 2016 to Present</a:t>
          </a:r>
          <a:endParaRPr lang="en-US" sz="1800">
            <a:effectLst/>
          </a:endParaRPr>
        </a:p>
        <a:p xmlns:a="http://schemas.openxmlformats.org/drawingml/2006/main">
          <a:endParaRPr lang="en-US" sz="1100"/>
        </a:p>
      </cdr:txBody>
    </cdr:sp>
  </cdr:relSizeAnchor>
</c:userShapes>
</file>

<file path=xl/drawings/drawing38.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0</xdr:colOff>
      <xdr:row>33</xdr:row>
      <xdr:rowOff>85725</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9.xml><?xml version="1.0" encoding="utf-8"?>
<c:userShapes xmlns:c="http://schemas.openxmlformats.org/drawingml/2006/chart">
  <cdr:relSizeAnchor xmlns:cdr="http://schemas.openxmlformats.org/drawingml/2006/chartDrawing">
    <cdr:from>
      <cdr:x>0.02463</cdr:x>
      <cdr:y>0.00843</cdr:y>
    </cdr:from>
    <cdr:to>
      <cdr:x>0.96059</cdr:x>
      <cdr:y>0.11798</cdr:y>
    </cdr:to>
    <cdr:sp macro="" textlink="">
      <cdr:nvSpPr>
        <cdr:cNvPr id="2" name="TextBox 1"/>
        <cdr:cNvSpPr txBox="1"/>
      </cdr:nvSpPr>
      <cdr:spPr>
        <a:xfrm xmlns:a="http://schemas.openxmlformats.org/drawingml/2006/main">
          <a:off x="190501" y="57150"/>
          <a:ext cx="7239000" cy="74295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rtl="0"/>
          <a:r>
            <a:rPr lang="en-US" sz="1800" b="1" i="0" baseline="0">
              <a:effectLst/>
              <a:latin typeface="+mn-lt"/>
              <a:ea typeface="+mn-ea"/>
              <a:cs typeface="+mn-cs"/>
            </a:rPr>
            <a:t>Cost-of-Service Gas Variance</a:t>
          </a:r>
          <a:endParaRPr lang="en-US" sz="1800">
            <a:effectLst/>
          </a:endParaRPr>
        </a:p>
        <a:p xmlns:a="http://schemas.openxmlformats.org/drawingml/2006/main">
          <a:pPr algn="ctr" rtl="0"/>
          <a:r>
            <a:rPr lang="en-US" sz="1800" b="1" i="0" baseline="0">
              <a:effectLst/>
              <a:latin typeface="+mn-lt"/>
              <a:ea typeface="+mn-ea"/>
              <a:cs typeface="+mn-cs"/>
            </a:rPr>
            <a:t>Cumulative Year-to-date  June 2016 to Present</a:t>
          </a:r>
          <a:endParaRPr lang="en-US" sz="1800">
            <a:effectLst/>
          </a:endParaRPr>
        </a:p>
        <a:p xmlns:a="http://schemas.openxmlformats.org/drawingml/2006/main">
          <a:pPr algn="ctr"/>
          <a:endParaRPr lang="en-US" sz="1800"/>
        </a:p>
      </cdr:txBody>
    </cdr:sp>
  </cdr:relSizeAnchor>
</c:userShapes>
</file>

<file path=xl/drawings/drawing4.xml><?xml version="1.0" encoding="utf-8"?>
<c:userShapes xmlns:c="http://schemas.openxmlformats.org/drawingml/2006/chart">
  <cdr:relSizeAnchor xmlns:cdr="http://schemas.openxmlformats.org/drawingml/2006/chartDrawing">
    <cdr:from>
      <cdr:x>0</cdr:x>
      <cdr:y>0.00143</cdr:y>
    </cdr:from>
    <cdr:to>
      <cdr:x>0.99751</cdr:x>
      <cdr:y>0.11571</cdr:y>
    </cdr:to>
    <cdr:sp macro="" textlink="">
      <cdr:nvSpPr>
        <cdr:cNvPr id="2" name="TextBox 1"/>
        <cdr:cNvSpPr txBox="1"/>
      </cdr:nvSpPr>
      <cdr:spPr>
        <a:xfrm xmlns:a="http://schemas.openxmlformats.org/drawingml/2006/main">
          <a:off x="0" y="9525"/>
          <a:ext cx="7639031" cy="76197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rtl="0"/>
          <a:r>
            <a:rPr lang="en-US" sz="1800" b="1" i="0" baseline="0">
              <a:effectLst/>
              <a:latin typeface="+mn-lt"/>
              <a:ea typeface="+mn-ea"/>
              <a:cs typeface="+mn-cs"/>
            </a:rPr>
            <a:t>Heating Degree Day Variance</a:t>
          </a:r>
          <a:endParaRPr lang="en-US" sz="1800" b="1">
            <a:effectLst/>
          </a:endParaRPr>
        </a:p>
        <a:p xmlns:a="http://schemas.openxmlformats.org/drawingml/2006/main">
          <a:pPr algn="ctr" rtl="0"/>
          <a:r>
            <a:rPr lang="en-US" sz="1800" b="1" i="0" baseline="0">
              <a:effectLst/>
              <a:latin typeface="+mn-lt"/>
              <a:ea typeface="+mn-ea"/>
              <a:cs typeface="+mn-cs"/>
            </a:rPr>
            <a:t>Year to date  -  June 2016 to May 2017</a:t>
          </a:r>
          <a:endParaRPr lang="en-US" sz="3200">
            <a:effectLst/>
          </a:endParaRPr>
        </a:p>
        <a:p xmlns:a="http://schemas.openxmlformats.org/drawingml/2006/main">
          <a:endParaRPr lang="en-US" sz="1100"/>
        </a:p>
      </cdr:txBody>
    </cdr:sp>
  </cdr:relSizeAnchor>
</c:userShapes>
</file>

<file path=xl/drawings/drawing40.xml><?xml version="1.0" encoding="utf-8"?>
<xdr:wsDr xmlns:xdr="http://schemas.openxmlformats.org/drawingml/2006/spreadsheetDrawing" xmlns:a="http://schemas.openxmlformats.org/drawingml/2006/main">
  <xdr:twoCellAnchor>
    <xdr:from>
      <xdr:col>0</xdr:col>
      <xdr:colOff>0</xdr:colOff>
      <xdr:row>0</xdr:row>
      <xdr:rowOff>9525</xdr:rowOff>
    </xdr:from>
    <xdr:to>
      <xdr:col>14</xdr:col>
      <xdr:colOff>0</xdr:colOff>
      <xdr:row>33</xdr:row>
      <xdr:rowOff>95250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1.xml><?xml version="1.0" encoding="utf-8"?>
<c:userShapes xmlns:c="http://schemas.openxmlformats.org/drawingml/2006/chart">
  <cdr:relSizeAnchor xmlns:cdr="http://schemas.openxmlformats.org/drawingml/2006/chartDrawing">
    <cdr:from>
      <cdr:x>0.00123</cdr:x>
      <cdr:y>0</cdr:y>
    </cdr:from>
    <cdr:to>
      <cdr:x>0.99631</cdr:x>
      <cdr:y>0.10364</cdr:y>
    </cdr:to>
    <cdr:sp macro="" textlink="">
      <cdr:nvSpPr>
        <cdr:cNvPr id="2" name="TextBox 1"/>
        <cdr:cNvSpPr txBox="1"/>
      </cdr:nvSpPr>
      <cdr:spPr>
        <a:xfrm xmlns:a="http://schemas.openxmlformats.org/drawingml/2006/main">
          <a:off x="9525" y="0"/>
          <a:ext cx="7696200" cy="704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rtl="0" eaLnBrk="1" fontAlgn="auto" latinLnBrk="0" hangingPunct="1"/>
          <a:r>
            <a:rPr lang="en-US" sz="1800" b="1" i="0" baseline="0">
              <a:effectLst/>
              <a:latin typeface="+mn-lt"/>
              <a:ea typeface="+mn-ea"/>
              <a:cs typeface="+mn-cs"/>
            </a:rPr>
            <a:t>Cost-of-Service New Drill Component</a:t>
          </a:r>
          <a:endParaRPr lang="en-US" sz="1800">
            <a:effectLst/>
          </a:endParaRPr>
        </a:p>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800" b="1" i="0" baseline="0">
              <a:effectLst/>
              <a:latin typeface="+mn-lt"/>
              <a:ea typeface="+mn-ea"/>
              <a:cs typeface="+mn-cs"/>
            </a:rPr>
            <a:t>IRP Third Quarter:  December to February</a:t>
          </a:r>
          <a:endParaRPr lang="en-US" sz="1800">
            <a:effectLst/>
          </a:endParaRPr>
        </a:p>
      </cdr:txBody>
    </cdr:sp>
  </cdr:relSizeAnchor>
</c:userShapes>
</file>

<file path=xl/drawings/drawing42.xml><?xml version="1.0" encoding="utf-8"?>
<xdr:wsDr xmlns:xdr="http://schemas.openxmlformats.org/drawingml/2006/spreadsheetDrawing" xmlns:a="http://schemas.openxmlformats.org/drawingml/2006/main">
  <xdr:twoCellAnchor>
    <xdr:from>
      <xdr:col>0</xdr:col>
      <xdr:colOff>1</xdr:colOff>
      <xdr:row>0</xdr:row>
      <xdr:rowOff>0</xdr:rowOff>
    </xdr:from>
    <xdr:to>
      <xdr:col>14</xdr:col>
      <xdr:colOff>1</xdr:colOff>
      <xdr:row>33</xdr:row>
      <xdr:rowOff>85725</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3.xml><?xml version="1.0" encoding="utf-8"?>
<c:userShapes xmlns:c="http://schemas.openxmlformats.org/drawingml/2006/chart">
  <cdr:relSizeAnchor xmlns:cdr="http://schemas.openxmlformats.org/drawingml/2006/chartDrawing">
    <cdr:from>
      <cdr:x>0.00123</cdr:x>
      <cdr:y>0.00141</cdr:y>
    </cdr:from>
    <cdr:to>
      <cdr:x>1</cdr:x>
      <cdr:y>0.11268</cdr:y>
    </cdr:to>
    <cdr:sp macro="" textlink="">
      <cdr:nvSpPr>
        <cdr:cNvPr id="2" name="TextBox 1"/>
        <cdr:cNvSpPr txBox="1"/>
      </cdr:nvSpPr>
      <cdr:spPr>
        <a:xfrm xmlns:a="http://schemas.openxmlformats.org/drawingml/2006/main">
          <a:off x="9513" y="9534"/>
          <a:ext cx="7724787" cy="75246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rtl="0" eaLnBrk="1" fontAlgn="auto" latinLnBrk="0" hangingPunct="1"/>
          <a:r>
            <a:rPr lang="en-US" sz="1800" b="1" i="0" baseline="0">
              <a:effectLst/>
              <a:latin typeface="+mn-lt"/>
              <a:ea typeface="+mn-ea"/>
              <a:cs typeface="+mn-cs"/>
            </a:rPr>
            <a:t>Cost-of-Service New Drill Component</a:t>
          </a:r>
          <a:endParaRPr lang="en-US" sz="1800">
            <a:effectLst/>
          </a:endParaRPr>
        </a:p>
        <a:p xmlns:a="http://schemas.openxmlformats.org/drawingml/2006/main">
          <a:pPr algn="ctr" rtl="0" eaLnBrk="1" fontAlgn="auto" latinLnBrk="0" hangingPunct="1"/>
          <a:r>
            <a:rPr lang="en-US" sz="1800" b="1" i="0" baseline="0">
              <a:effectLst/>
              <a:latin typeface="+mn-lt"/>
              <a:ea typeface="+mn-ea"/>
              <a:cs typeface="+mn-cs"/>
            </a:rPr>
            <a:t>Monthly Year to date  -  June 2016 to Present</a:t>
          </a:r>
          <a:endParaRPr lang="en-US" sz="1800">
            <a:effectLst/>
          </a:endParaRPr>
        </a:p>
        <a:p xmlns:a="http://schemas.openxmlformats.org/drawingml/2006/main">
          <a:pPr algn="ctr"/>
          <a:endParaRPr lang="en-US" sz="1100"/>
        </a:p>
      </cdr:txBody>
    </cdr:sp>
  </cdr:relSizeAnchor>
</c:userShapes>
</file>

<file path=xl/drawings/drawing44.xml><?xml version="1.0" encoding="utf-8"?>
<xdr:wsDr xmlns:xdr="http://schemas.openxmlformats.org/drawingml/2006/spreadsheetDrawing" xmlns:a="http://schemas.openxmlformats.org/drawingml/2006/main">
  <xdr:twoCellAnchor>
    <xdr:from>
      <xdr:col>0</xdr:col>
      <xdr:colOff>1</xdr:colOff>
      <xdr:row>0</xdr:row>
      <xdr:rowOff>0</xdr:rowOff>
    </xdr:from>
    <xdr:to>
      <xdr:col>14</xdr:col>
      <xdr:colOff>1</xdr:colOff>
      <xdr:row>33</xdr:row>
      <xdr:rowOff>66675</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5.xml><?xml version="1.0" encoding="utf-8"?>
<c:userShapes xmlns:c="http://schemas.openxmlformats.org/drawingml/2006/chart">
  <cdr:relSizeAnchor xmlns:cdr="http://schemas.openxmlformats.org/drawingml/2006/chartDrawing">
    <cdr:from>
      <cdr:x>0.00123</cdr:x>
      <cdr:y>0.00141</cdr:y>
    </cdr:from>
    <cdr:to>
      <cdr:x>0.99877</cdr:x>
      <cdr:y>0.10563</cdr:y>
    </cdr:to>
    <cdr:sp macro="" textlink="">
      <cdr:nvSpPr>
        <cdr:cNvPr id="2" name="TextBox 1"/>
        <cdr:cNvSpPr txBox="1"/>
      </cdr:nvSpPr>
      <cdr:spPr>
        <a:xfrm xmlns:a="http://schemas.openxmlformats.org/drawingml/2006/main">
          <a:off x="9524" y="9526"/>
          <a:ext cx="7715250" cy="704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rtl="0" eaLnBrk="1" fontAlgn="auto" latinLnBrk="0" hangingPunct="1"/>
          <a:r>
            <a:rPr lang="en-US" sz="1800" b="1" i="0" baseline="0">
              <a:effectLst/>
              <a:latin typeface="+mn-lt"/>
              <a:ea typeface="+mn-ea"/>
              <a:cs typeface="+mn-cs"/>
            </a:rPr>
            <a:t>Cost-of-Service New Drill Component</a:t>
          </a:r>
          <a:endParaRPr lang="en-US" sz="1800">
            <a:effectLst/>
          </a:endParaRPr>
        </a:p>
        <a:p xmlns:a="http://schemas.openxmlformats.org/drawingml/2006/main">
          <a:pPr algn="ctr" rtl="0" eaLnBrk="1" fontAlgn="auto" latinLnBrk="0" hangingPunct="1"/>
          <a:r>
            <a:rPr lang="en-US" sz="1800" b="1" i="0" baseline="0">
              <a:effectLst/>
              <a:latin typeface="+mn-lt"/>
              <a:ea typeface="+mn-ea"/>
              <a:cs typeface="+mn-cs"/>
            </a:rPr>
            <a:t>Cumulative Year-to-date  June 2016 to Present</a:t>
          </a:r>
          <a:endParaRPr lang="en-US" sz="1800">
            <a:effectLst/>
          </a:endParaRPr>
        </a:p>
        <a:p xmlns:a="http://schemas.openxmlformats.org/drawingml/2006/main">
          <a:pPr algn="ctr"/>
          <a:endParaRPr lang="en-US" sz="1100"/>
        </a:p>
      </cdr:txBody>
    </cdr:sp>
  </cdr:relSizeAnchor>
</c:userShapes>
</file>

<file path=xl/drawings/drawing46.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552449</xdr:colOff>
      <xdr:row>33</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7.xml><?xml version="1.0" encoding="utf-8"?>
<c:userShapes xmlns:c="http://schemas.openxmlformats.org/drawingml/2006/chart">
  <cdr:relSizeAnchor xmlns:cdr="http://schemas.openxmlformats.org/drawingml/2006/chartDrawing">
    <cdr:from>
      <cdr:x>0.00123</cdr:x>
      <cdr:y>0.00286</cdr:y>
    </cdr:from>
    <cdr:to>
      <cdr:x>1</cdr:x>
      <cdr:y>0.10414</cdr:y>
    </cdr:to>
    <cdr:sp macro="" textlink="">
      <cdr:nvSpPr>
        <cdr:cNvPr id="2" name="TextBox 1"/>
        <cdr:cNvSpPr txBox="1"/>
      </cdr:nvSpPr>
      <cdr:spPr>
        <a:xfrm xmlns:a="http://schemas.openxmlformats.org/drawingml/2006/main">
          <a:off x="9513" y="19079"/>
          <a:ext cx="7724786" cy="67624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rtl="0"/>
          <a:r>
            <a:rPr lang="en-US" sz="1800" b="1" i="0" baseline="0">
              <a:effectLst/>
              <a:latin typeface="+mn-lt"/>
              <a:ea typeface="+mn-ea"/>
              <a:cs typeface="+mn-cs"/>
            </a:rPr>
            <a:t>Clay Basin Month End Inventory</a:t>
          </a:r>
          <a:endParaRPr lang="en-US" sz="1800">
            <a:effectLst/>
          </a:endParaRPr>
        </a:p>
        <a:p xmlns:a="http://schemas.openxmlformats.org/drawingml/2006/main">
          <a:pPr algn="ctr" rtl="0"/>
          <a:r>
            <a:rPr lang="en-US" sz="1800" b="1" i="0" baseline="0">
              <a:effectLst/>
              <a:latin typeface="+mn-lt"/>
              <a:ea typeface="+mn-ea"/>
              <a:cs typeface="+mn-cs"/>
            </a:rPr>
            <a:t>Cumulative Year-to-date  June 2015 to Present</a:t>
          </a:r>
          <a:endParaRPr lang="en-US" sz="1800">
            <a:effectLst/>
          </a:endParaRPr>
        </a:p>
        <a:p xmlns:a="http://schemas.openxmlformats.org/drawingml/2006/main">
          <a:pPr algn="ctr"/>
          <a:endParaRPr lang="en-US" sz="1100"/>
        </a:p>
      </cdr:txBody>
    </cdr:sp>
  </cdr:relSizeAnchor>
</c:userShapes>
</file>

<file path=xl/drawings/drawing48.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0</xdr:colOff>
      <xdr:row>32</xdr:row>
      <xdr:rowOff>76200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9.xml><?xml version="1.0" encoding="utf-8"?>
<c:userShapes xmlns:c="http://schemas.openxmlformats.org/drawingml/2006/chart">
  <cdr:relSizeAnchor xmlns:cdr="http://schemas.openxmlformats.org/drawingml/2006/chartDrawing">
    <cdr:from>
      <cdr:x>0.00123</cdr:x>
      <cdr:y>0.0029</cdr:y>
    </cdr:from>
    <cdr:to>
      <cdr:x>1</cdr:x>
      <cdr:y>0.11594</cdr:y>
    </cdr:to>
    <cdr:sp macro="" textlink="">
      <cdr:nvSpPr>
        <cdr:cNvPr id="2" name="TextBox 1"/>
        <cdr:cNvSpPr txBox="1"/>
      </cdr:nvSpPr>
      <cdr:spPr>
        <a:xfrm xmlns:a="http://schemas.openxmlformats.org/drawingml/2006/main">
          <a:off x="9513" y="19060"/>
          <a:ext cx="7724787" cy="7429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rtl="0"/>
          <a:r>
            <a:rPr lang="en-US" sz="1800" b="1" i="0" baseline="0">
              <a:effectLst/>
              <a:latin typeface="+mn-lt"/>
              <a:ea typeface="+mn-ea"/>
              <a:cs typeface="+mn-cs"/>
            </a:rPr>
            <a:t>Aquifer Month End Inventory</a:t>
          </a:r>
          <a:endParaRPr lang="en-US" sz="1800">
            <a:effectLst/>
          </a:endParaRPr>
        </a:p>
        <a:p xmlns:a="http://schemas.openxmlformats.org/drawingml/2006/main">
          <a:pPr algn="ctr" rtl="0"/>
          <a:r>
            <a:rPr lang="en-US" sz="1800" b="1" i="0" baseline="0">
              <a:effectLst/>
              <a:latin typeface="+mn-lt"/>
              <a:ea typeface="+mn-ea"/>
              <a:cs typeface="+mn-cs"/>
            </a:rPr>
            <a:t>Cumulative Year-to-date  June 2015 to Present</a:t>
          </a:r>
          <a:endParaRPr lang="en-US" sz="1800">
            <a:effectLst/>
          </a:endParaRPr>
        </a:p>
        <a:p xmlns:a="http://schemas.openxmlformats.org/drawingml/2006/main">
          <a:endParaRPr lang="en-US" sz="1100"/>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9525</xdr:colOff>
      <xdr:row>0</xdr:row>
      <xdr:rowOff>19051</xdr:rowOff>
    </xdr:from>
    <xdr:to>
      <xdr:col>13</xdr:col>
      <xdr:colOff>523875</xdr:colOff>
      <xdr:row>32</xdr:row>
      <xdr:rowOff>152401</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cdr:x>
      <cdr:y>0.01146</cdr:y>
    </cdr:from>
    <cdr:to>
      <cdr:x>0.99629</cdr:x>
      <cdr:y>0.11318</cdr:y>
    </cdr:to>
    <cdr:sp macro="" textlink="">
      <cdr:nvSpPr>
        <cdr:cNvPr id="2" name="TextBox 1"/>
        <cdr:cNvSpPr txBox="1"/>
      </cdr:nvSpPr>
      <cdr:spPr>
        <a:xfrm xmlns:a="http://schemas.openxmlformats.org/drawingml/2006/main">
          <a:off x="0" y="76198"/>
          <a:ext cx="7667624" cy="6762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rtl="0"/>
          <a:r>
            <a:rPr lang="en-US" sz="1800" b="1" i="0" baseline="0">
              <a:effectLst/>
              <a:latin typeface="+mn-lt"/>
              <a:ea typeface="+mn-ea"/>
              <a:cs typeface="+mn-cs"/>
            </a:rPr>
            <a:t>Heating Degree Day Variance</a:t>
          </a:r>
          <a:endParaRPr lang="en-US" sz="1800">
            <a:effectLst/>
          </a:endParaRPr>
        </a:p>
        <a:p xmlns:a="http://schemas.openxmlformats.org/drawingml/2006/main">
          <a:pPr algn="ctr" rtl="0"/>
          <a:r>
            <a:rPr lang="en-US" sz="1800" b="1" i="0" baseline="0">
              <a:effectLst/>
              <a:latin typeface="+mn-lt"/>
              <a:ea typeface="+mn-ea"/>
              <a:cs typeface="+mn-cs"/>
            </a:rPr>
            <a:t>Cumulative Year-to-date  June 2016 to Present</a:t>
          </a:r>
          <a:endParaRPr lang="en-US" sz="1800">
            <a:effectLst/>
          </a:endParaRPr>
        </a:p>
        <a:p xmlns:a="http://schemas.openxmlformats.org/drawingml/2006/main">
          <a:endParaRPr lang="en-US" sz="1100"/>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0</xdr:row>
      <xdr:rowOff>28575</xdr:rowOff>
    </xdr:from>
    <xdr:to>
      <xdr:col>13</xdr:col>
      <xdr:colOff>533400</xdr:colOff>
      <xdr:row>33</xdr:row>
      <xdr:rowOff>38100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0.00247</cdr:x>
      <cdr:y>0.00854</cdr:y>
    </cdr:from>
    <cdr:to>
      <cdr:x>1</cdr:x>
      <cdr:y>0.11095</cdr:y>
    </cdr:to>
    <cdr:sp macro="" textlink="">
      <cdr:nvSpPr>
        <cdr:cNvPr id="2" name="TextBox 1"/>
        <cdr:cNvSpPr txBox="1"/>
      </cdr:nvSpPr>
      <cdr:spPr>
        <a:xfrm xmlns:a="http://schemas.openxmlformats.org/drawingml/2006/main">
          <a:off x="19051" y="57185"/>
          <a:ext cx="7696199" cy="6857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rtl="0"/>
          <a:r>
            <a:rPr lang="en-US" sz="1800" b="1" i="0" baseline="0">
              <a:latin typeface="+mn-lt"/>
              <a:ea typeface="+mn-ea"/>
              <a:cs typeface="+mn-cs"/>
            </a:rPr>
            <a:t>  Clay Basin Month End Inventory</a:t>
          </a:r>
          <a:endParaRPr lang="en-US" sz="1800" b="0" i="0" baseline="0">
            <a:latin typeface="+mn-lt"/>
            <a:ea typeface="+mn-ea"/>
            <a:cs typeface="+mn-cs"/>
          </a:endParaRPr>
        </a:p>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800" b="1" i="0" baseline="0">
              <a:effectLst/>
              <a:latin typeface="+mn-lt"/>
              <a:ea typeface="+mn-ea"/>
              <a:cs typeface="+mn-cs"/>
            </a:rPr>
            <a:t>IRP Third Quarter:  December to February</a:t>
          </a:r>
          <a:endParaRPr lang="en-US" sz="3200">
            <a:effectLst/>
          </a:endParaRPr>
        </a:p>
        <a:p xmlns:a="http://schemas.openxmlformats.org/drawingml/2006/main">
          <a:pPr algn="ctr" rtl="0"/>
          <a:endParaRPr lang="en-US" sz="1800">
            <a:effectLst/>
          </a:endParaRP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0</xdr:colOff>
      <xdr:row>32</xdr:row>
      <xdr:rowOff>133350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39.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36"/>
  <sheetViews>
    <sheetView zoomScaleNormal="100" workbookViewId="0">
      <selection activeCell="L23" sqref="L23"/>
    </sheetView>
  </sheetViews>
  <sheetFormatPr defaultRowHeight="12.75" x14ac:dyDescent="0.2"/>
  <cols>
    <col min="1" max="1" width="10.7109375" customWidth="1"/>
    <col min="2" max="3" width="9.85546875" customWidth="1"/>
    <col min="9" max="10" width="11" customWidth="1"/>
  </cols>
  <sheetData>
    <row r="1" spans="1:10" x14ac:dyDescent="0.2">
      <c r="A1" s="431" t="s">
        <v>3</v>
      </c>
      <c r="B1" s="431"/>
      <c r="C1" s="431"/>
      <c r="D1" s="431"/>
      <c r="E1" s="431"/>
      <c r="F1" s="431"/>
      <c r="G1" t="s">
        <v>73</v>
      </c>
      <c r="I1" s="432" t="s">
        <v>254</v>
      </c>
      <c r="J1" s="433"/>
    </row>
    <row r="2" spans="1:10" x14ac:dyDescent="0.2">
      <c r="A2" s="431" t="s">
        <v>71</v>
      </c>
      <c r="B2" s="431"/>
      <c r="C2" s="431"/>
      <c r="D2" s="431"/>
      <c r="E2" s="431"/>
      <c r="F2" s="431"/>
    </row>
    <row r="3" spans="1:10" x14ac:dyDescent="0.2">
      <c r="A3" s="125" t="s">
        <v>193</v>
      </c>
      <c r="B3" s="125"/>
      <c r="C3" s="125"/>
      <c r="D3" s="125"/>
      <c r="E3" s="125"/>
      <c r="F3" s="125"/>
    </row>
    <row r="4" spans="1:10" x14ac:dyDescent="0.2">
      <c r="A4" s="29" t="s">
        <v>37</v>
      </c>
      <c r="B4" s="29"/>
      <c r="C4" s="29"/>
      <c r="D4" s="29"/>
      <c r="E4" s="29"/>
    </row>
    <row r="5" spans="1:10" x14ac:dyDescent="0.2">
      <c r="A5" s="435" t="s">
        <v>76</v>
      </c>
      <c r="B5" s="435"/>
      <c r="C5" s="435"/>
      <c r="D5" s="435"/>
      <c r="E5" s="435"/>
      <c r="F5" s="435"/>
      <c r="G5" s="435"/>
    </row>
    <row r="7" spans="1:10" x14ac:dyDescent="0.2">
      <c r="A7" s="55" t="s">
        <v>0</v>
      </c>
      <c r="B7" s="55" t="s">
        <v>1</v>
      </c>
      <c r="C7" s="5" t="s">
        <v>258</v>
      </c>
      <c r="D7" s="55"/>
      <c r="F7" s="55" t="s">
        <v>1</v>
      </c>
      <c r="G7" s="55" t="s">
        <v>258</v>
      </c>
      <c r="H7" s="4"/>
    </row>
    <row r="8" spans="1:10" x14ac:dyDescent="0.2">
      <c r="A8" s="207">
        <v>42522</v>
      </c>
      <c r="B8" s="138">
        <v>0</v>
      </c>
      <c r="C8" s="47">
        <v>46.17</v>
      </c>
      <c r="D8" s="194">
        <f>B8-C8</f>
        <v>-46.17</v>
      </c>
      <c r="E8" s="47"/>
      <c r="F8">
        <f>B8</f>
        <v>0</v>
      </c>
      <c r="G8" s="47">
        <f>C8</f>
        <v>46.17</v>
      </c>
      <c r="H8" s="54"/>
    </row>
    <row r="9" spans="1:10" x14ac:dyDescent="0.2">
      <c r="A9" s="188">
        <v>42552</v>
      </c>
      <c r="B9" s="139">
        <v>0</v>
      </c>
      <c r="C9" s="47">
        <v>2.08</v>
      </c>
      <c r="D9" s="194">
        <f t="shared" ref="D9:D19" si="0">B9-C9</f>
        <v>-2.08</v>
      </c>
      <c r="E9" s="47"/>
      <c r="F9">
        <f t="shared" ref="F9:F19" si="1">B9+F8</f>
        <v>0</v>
      </c>
      <c r="G9" s="47">
        <f>C9+G8</f>
        <v>48.25</v>
      </c>
      <c r="H9" s="54"/>
    </row>
    <row r="10" spans="1:10" x14ac:dyDescent="0.2">
      <c r="A10" s="188">
        <v>42583</v>
      </c>
      <c r="B10" s="139">
        <v>0</v>
      </c>
      <c r="C10" s="47">
        <v>2.2999999999999998</v>
      </c>
      <c r="D10" s="194">
        <f t="shared" si="0"/>
        <v>-2.2999999999999998</v>
      </c>
      <c r="E10" s="47"/>
      <c r="F10">
        <f t="shared" si="1"/>
        <v>0</v>
      </c>
      <c r="G10" s="47">
        <f t="shared" ref="G10:G19" si="2">C10+G9</f>
        <v>50.55</v>
      </c>
      <c r="H10" s="54"/>
    </row>
    <row r="11" spans="1:10" x14ac:dyDescent="0.2">
      <c r="A11" s="188">
        <v>42614</v>
      </c>
      <c r="B11" s="139">
        <v>51</v>
      </c>
      <c r="C11" s="47">
        <v>79.83</v>
      </c>
      <c r="D11" s="194">
        <f t="shared" si="0"/>
        <v>-28.83</v>
      </c>
      <c r="E11" s="47"/>
      <c r="F11">
        <f t="shared" si="1"/>
        <v>51</v>
      </c>
      <c r="G11" s="47">
        <f t="shared" si="2"/>
        <v>130.38</v>
      </c>
      <c r="H11" s="54"/>
    </row>
    <row r="12" spans="1:10" x14ac:dyDescent="0.2">
      <c r="A12" s="188">
        <v>42644</v>
      </c>
      <c r="B12" s="139">
        <v>217</v>
      </c>
      <c r="C12" s="47">
        <v>374.12</v>
      </c>
      <c r="D12" s="194">
        <f t="shared" si="0"/>
        <v>-157.12</v>
      </c>
      <c r="E12" s="47"/>
      <c r="F12">
        <f t="shared" si="1"/>
        <v>268</v>
      </c>
      <c r="G12" s="47">
        <f t="shared" si="2"/>
        <v>504.5</v>
      </c>
      <c r="H12" s="54"/>
    </row>
    <row r="13" spans="1:10" x14ac:dyDescent="0.2">
      <c r="A13" s="188">
        <v>42675</v>
      </c>
      <c r="B13" s="139">
        <v>530</v>
      </c>
      <c r="C13" s="47">
        <v>744.18</v>
      </c>
      <c r="D13" s="194">
        <f t="shared" si="0"/>
        <v>-214.17999999999995</v>
      </c>
      <c r="E13" s="47"/>
      <c r="F13">
        <f t="shared" si="1"/>
        <v>798</v>
      </c>
      <c r="G13" s="47">
        <f t="shared" si="2"/>
        <v>1248.6799999999998</v>
      </c>
      <c r="H13" s="54"/>
    </row>
    <row r="14" spans="1:10" x14ac:dyDescent="0.2">
      <c r="A14" s="188">
        <v>42705</v>
      </c>
      <c r="B14" s="139">
        <v>1090</v>
      </c>
      <c r="C14" s="47">
        <v>1070.32</v>
      </c>
      <c r="D14" s="194">
        <f t="shared" si="0"/>
        <v>19.680000000000064</v>
      </c>
      <c r="E14" s="47"/>
      <c r="F14">
        <f t="shared" si="1"/>
        <v>1888</v>
      </c>
      <c r="G14" s="47">
        <f t="shared" si="2"/>
        <v>2319</v>
      </c>
      <c r="H14" s="54"/>
    </row>
    <row r="15" spans="1:10" x14ac:dyDescent="0.2">
      <c r="A15" s="188">
        <v>42736</v>
      </c>
      <c r="B15" s="139">
        <v>1167</v>
      </c>
      <c r="C15" s="150">
        <v>1096.1500000000001</v>
      </c>
      <c r="D15" s="194">
        <f t="shared" si="0"/>
        <v>70.849999999999909</v>
      </c>
      <c r="E15" s="47"/>
      <c r="F15">
        <f t="shared" si="1"/>
        <v>3055</v>
      </c>
      <c r="G15" s="47">
        <f t="shared" si="2"/>
        <v>3415.15</v>
      </c>
      <c r="H15" s="54"/>
    </row>
    <row r="16" spans="1:10" x14ac:dyDescent="0.2">
      <c r="A16" s="188">
        <v>42767</v>
      </c>
      <c r="B16" s="139">
        <v>694</v>
      </c>
      <c r="C16" s="150">
        <v>865.63</v>
      </c>
      <c r="D16" s="194">
        <f t="shared" si="0"/>
        <v>-171.63</v>
      </c>
      <c r="E16" s="47"/>
      <c r="F16">
        <f t="shared" si="1"/>
        <v>3749</v>
      </c>
      <c r="G16" s="47">
        <f t="shared" si="2"/>
        <v>4280.78</v>
      </c>
      <c r="H16" s="54"/>
    </row>
    <row r="17" spans="1:8" x14ac:dyDescent="0.2">
      <c r="A17" s="188">
        <v>42795</v>
      </c>
      <c r="B17" s="139">
        <v>456</v>
      </c>
      <c r="C17" s="150">
        <v>657.78</v>
      </c>
      <c r="D17" s="194">
        <f t="shared" si="0"/>
        <v>-201.77999999999997</v>
      </c>
      <c r="E17" s="47"/>
      <c r="F17">
        <f t="shared" si="1"/>
        <v>4205</v>
      </c>
      <c r="G17" s="47">
        <f t="shared" si="2"/>
        <v>4938.5599999999995</v>
      </c>
      <c r="H17" s="54"/>
    </row>
    <row r="18" spans="1:8" x14ac:dyDescent="0.2">
      <c r="A18" s="188">
        <v>42826</v>
      </c>
      <c r="B18" s="139">
        <v>0</v>
      </c>
      <c r="C18" s="150">
        <v>431.82</v>
      </c>
      <c r="D18" s="194">
        <f t="shared" si="0"/>
        <v>-431.82</v>
      </c>
      <c r="E18" s="47"/>
      <c r="F18">
        <f t="shared" si="1"/>
        <v>4205</v>
      </c>
      <c r="G18" s="47">
        <f t="shared" si="2"/>
        <v>5370.3799999999992</v>
      </c>
      <c r="H18" s="54"/>
    </row>
    <row r="19" spans="1:8" x14ac:dyDescent="0.2">
      <c r="A19" s="188">
        <v>42856</v>
      </c>
      <c r="B19" s="140">
        <v>0</v>
      </c>
      <c r="C19" s="178">
        <v>205.37</v>
      </c>
      <c r="D19" s="194">
        <f t="shared" si="0"/>
        <v>-205.37</v>
      </c>
      <c r="E19" s="47"/>
      <c r="F19">
        <f t="shared" si="1"/>
        <v>4205</v>
      </c>
      <c r="G19" s="47">
        <f t="shared" si="2"/>
        <v>5575.7499999999991</v>
      </c>
      <c r="H19" s="54"/>
    </row>
    <row r="20" spans="1:8" x14ac:dyDescent="0.2">
      <c r="C20" s="47">
        <f>SUM(C8:C19)</f>
        <v>5575.7499999999991</v>
      </c>
      <c r="D20" s="47"/>
      <c r="E20" s="47"/>
    </row>
    <row r="27" spans="1:8" x14ac:dyDescent="0.2">
      <c r="A27" s="434"/>
      <c r="B27" s="434"/>
      <c r="C27" s="434"/>
      <c r="D27" s="434"/>
      <c r="E27" s="434"/>
      <c r="F27" s="434"/>
      <c r="G27" s="434"/>
    </row>
    <row r="29" spans="1:8" x14ac:dyDescent="0.2">
      <c r="E29" s="50"/>
    </row>
    <row r="30" spans="1:8" x14ac:dyDescent="0.2">
      <c r="E30" s="50"/>
    </row>
    <row r="31" spans="1:8" x14ac:dyDescent="0.2">
      <c r="E31" s="50"/>
    </row>
    <row r="36" spans="7:8" x14ac:dyDescent="0.2">
      <c r="G36">
        <f>4.08-3.28</f>
        <v>0.80000000000000027</v>
      </c>
      <c r="H36">
        <f>3.86-3.59</f>
        <v>0.27</v>
      </c>
    </row>
  </sheetData>
  <mergeCells count="5">
    <mergeCell ref="A1:F1"/>
    <mergeCell ref="A2:F2"/>
    <mergeCell ref="I1:J1"/>
    <mergeCell ref="A27:G27"/>
    <mergeCell ref="A5:G5"/>
  </mergeCells>
  <phoneticPr fontId="23" type="noConversion"/>
  <pageMargins left="0.75" right="0.75" top="1" bottom="1" header="0.5" footer="0.5"/>
  <pageSetup orientation="portrait" horizontalDpi="1200" verticalDpi="12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O31:Q32"/>
  <sheetViews>
    <sheetView topLeftCell="A10" workbookViewId="0">
      <selection activeCell="O31" sqref="O31"/>
    </sheetView>
  </sheetViews>
  <sheetFormatPr defaultRowHeight="12.75" x14ac:dyDescent="0.2"/>
  <cols>
    <col min="1" max="14" width="8.28515625" customWidth="1"/>
    <col min="15" max="17" width="2.5703125" customWidth="1"/>
  </cols>
  <sheetData>
    <row r="31" spans="15:17" ht="105.75" customHeight="1" x14ac:dyDescent="0.2">
      <c r="O31" s="126" t="str">
        <f>'Exhibit 1.1'!O31</f>
        <v>DEU Variance Exhibit</v>
      </c>
      <c r="P31" s="126" t="str">
        <f>'Exhibit 1.1'!P31</f>
        <v>Docket No. 16-057-08</v>
      </c>
      <c r="Q31" s="126" t="str">
        <f>'Exhibit 1.1'!Q31</f>
        <v>Dominion Energy Utah</v>
      </c>
    </row>
    <row r="32" spans="15:17" ht="23.25" customHeight="1" x14ac:dyDescent="0.2">
      <c r="O32" s="112">
        <v>2.4</v>
      </c>
      <c r="P32" s="109"/>
      <c r="Q32" s="109"/>
    </row>
  </sheetData>
  <printOptions horizontalCentered="1" verticalCentered="1"/>
  <pageMargins left="0.7" right="0.7" top="0.75" bottom="0.75" header="0.3" footer="0.3"/>
  <pageSetup orientation="landscape"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9"/>
  <sheetViews>
    <sheetView workbookViewId="0">
      <selection activeCell="F25" sqref="F25"/>
    </sheetView>
  </sheetViews>
  <sheetFormatPr defaultRowHeight="12.75" x14ac:dyDescent="0.2"/>
  <cols>
    <col min="1" max="1" width="13.42578125" customWidth="1"/>
    <col min="3" max="3" width="12.140625" customWidth="1"/>
    <col min="5" max="5" width="13" customWidth="1"/>
  </cols>
  <sheetData>
    <row r="1" spans="1:9" x14ac:dyDescent="0.2">
      <c r="A1" s="94"/>
    </row>
    <row r="3" spans="1:9" x14ac:dyDescent="0.2">
      <c r="G3" s="438" t="s">
        <v>16</v>
      </c>
      <c r="H3" s="438"/>
      <c r="I3" s="438"/>
    </row>
    <row r="4" spans="1:9" x14ac:dyDescent="0.2">
      <c r="A4" t="str">
        <f>'Ex 1 HDD'!A7</f>
        <v>Month/Year</v>
      </c>
      <c r="B4" s="94" t="s">
        <v>256</v>
      </c>
      <c r="C4" s="94" t="s">
        <v>190</v>
      </c>
      <c r="D4" s="94" t="s">
        <v>191</v>
      </c>
      <c r="E4" s="94" t="s">
        <v>192</v>
      </c>
      <c r="G4" s="388" t="s">
        <v>1</v>
      </c>
      <c r="H4" s="388" t="s">
        <v>258</v>
      </c>
      <c r="I4" s="389"/>
    </row>
    <row r="5" spans="1:9" x14ac:dyDescent="0.2">
      <c r="A5" s="49">
        <v>42522</v>
      </c>
      <c r="B5" s="386">
        <v>2715.8141700000001</v>
      </c>
      <c r="C5" s="386">
        <v>3238.8878755569458</v>
      </c>
      <c r="D5">
        <f>DAY(EOMONTH(A5,0))</f>
        <v>30</v>
      </c>
      <c r="E5" s="54">
        <f>C5/D5</f>
        <v>107.96292918523153</v>
      </c>
      <c r="G5" s="385">
        <f>B5</f>
        <v>2715.8141700000001</v>
      </c>
      <c r="H5" s="385">
        <f>C5</f>
        <v>3238.8878755569458</v>
      </c>
      <c r="I5" s="386"/>
    </row>
    <row r="6" spans="1:9" x14ac:dyDescent="0.2">
      <c r="A6" s="49">
        <v>42552</v>
      </c>
      <c r="B6" s="386">
        <v>2640.3173199999997</v>
      </c>
      <c r="C6" s="386">
        <v>2688.0368220806122</v>
      </c>
      <c r="D6">
        <f t="shared" ref="D6:D16" si="0">DAY(EOMONTH(A6,0))</f>
        <v>31</v>
      </c>
      <c r="E6" s="54">
        <f t="shared" ref="E6:E16" si="1">C6/D6</f>
        <v>86.710865228406846</v>
      </c>
      <c r="G6" s="385">
        <f>G5+B6</f>
        <v>5356.1314899999998</v>
      </c>
      <c r="H6" s="385">
        <f>H5+C6</f>
        <v>5926.924697637558</v>
      </c>
      <c r="I6" s="386"/>
    </row>
    <row r="7" spans="1:9" x14ac:dyDescent="0.2">
      <c r="A7" s="49">
        <v>42583</v>
      </c>
      <c r="B7" s="386">
        <v>2468.9849400000003</v>
      </c>
      <c r="C7" s="386">
        <v>2567.4456295967102</v>
      </c>
      <c r="D7">
        <f t="shared" si="0"/>
        <v>31</v>
      </c>
      <c r="E7" s="54">
        <f t="shared" si="1"/>
        <v>82.820826761184193</v>
      </c>
      <c r="G7" s="385">
        <f t="shared" ref="G7:G16" si="2">G6+B7</f>
        <v>7825.11643</v>
      </c>
      <c r="H7" s="385">
        <f t="shared" ref="H7:H16" si="3">H6+C7</f>
        <v>8494.3703272342682</v>
      </c>
      <c r="I7" s="386"/>
    </row>
    <row r="8" spans="1:9" x14ac:dyDescent="0.2">
      <c r="A8" s="49">
        <v>42614</v>
      </c>
      <c r="B8" s="386">
        <v>2812.6471699999993</v>
      </c>
      <c r="C8" s="386">
        <v>2794.3660657405853</v>
      </c>
      <c r="D8">
        <f t="shared" si="0"/>
        <v>30</v>
      </c>
      <c r="E8" s="54">
        <f t="shared" si="1"/>
        <v>93.145535524686181</v>
      </c>
      <c r="G8" s="385">
        <f t="shared" si="2"/>
        <v>10637.763599999998</v>
      </c>
      <c r="H8" s="385">
        <f t="shared" si="3"/>
        <v>11288.736392974854</v>
      </c>
      <c r="I8" s="386"/>
    </row>
    <row r="9" spans="1:9" x14ac:dyDescent="0.2">
      <c r="A9" s="49">
        <v>42644</v>
      </c>
      <c r="B9" s="386">
        <v>5215.980050000001</v>
      </c>
      <c r="C9" s="386">
        <v>6967.0235066413879</v>
      </c>
      <c r="D9">
        <f t="shared" si="0"/>
        <v>31</v>
      </c>
      <c r="E9" s="54">
        <f t="shared" si="1"/>
        <v>224.74269376262541</v>
      </c>
      <c r="G9" s="385">
        <f t="shared" si="2"/>
        <v>15853.74365</v>
      </c>
      <c r="H9" s="385">
        <f t="shared" si="3"/>
        <v>18255.759899616241</v>
      </c>
      <c r="I9" s="386"/>
    </row>
    <row r="10" spans="1:9" x14ac:dyDescent="0.2">
      <c r="A10" s="49">
        <v>42675</v>
      </c>
      <c r="B10" s="386">
        <v>9320.9812399999992</v>
      </c>
      <c r="C10" s="386">
        <v>11863.88521194458</v>
      </c>
      <c r="D10">
        <f t="shared" si="0"/>
        <v>30</v>
      </c>
      <c r="E10" s="54">
        <f t="shared" si="1"/>
        <v>395.46284039815265</v>
      </c>
      <c r="G10" s="385">
        <f>G9+B10</f>
        <v>25174.724889999998</v>
      </c>
      <c r="H10" s="385">
        <f t="shared" si="3"/>
        <v>30119.645111560822</v>
      </c>
      <c r="I10" s="386"/>
    </row>
    <row r="11" spans="1:9" x14ac:dyDescent="0.2">
      <c r="A11" s="49">
        <v>42705</v>
      </c>
      <c r="B11" s="390">
        <v>19592.12818</v>
      </c>
      <c r="C11" s="386">
        <v>18491.82447052002</v>
      </c>
      <c r="D11">
        <f t="shared" si="0"/>
        <v>31</v>
      </c>
      <c r="E11" s="54">
        <f t="shared" si="1"/>
        <v>596.51046679096839</v>
      </c>
      <c r="G11" s="385">
        <f>G10+B11</f>
        <v>44766.853069999997</v>
      </c>
      <c r="H11" s="385">
        <f>H10+C11</f>
        <v>48611.469582080841</v>
      </c>
      <c r="I11" s="386"/>
    </row>
    <row r="12" spans="1:9" x14ac:dyDescent="0.2">
      <c r="A12" s="49">
        <v>42736</v>
      </c>
      <c r="B12" s="390">
        <v>21093.477179999998</v>
      </c>
      <c r="C12" s="386">
        <v>19498.209446907043</v>
      </c>
      <c r="D12">
        <f t="shared" si="0"/>
        <v>31</v>
      </c>
      <c r="E12" s="54">
        <f t="shared" si="1"/>
        <v>628.97449828732397</v>
      </c>
      <c r="G12" s="385">
        <f t="shared" si="2"/>
        <v>65860.330249999999</v>
      </c>
      <c r="H12" s="385">
        <f t="shared" si="3"/>
        <v>68109.679028987885</v>
      </c>
      <c r="I12" s="386"/>
    </row>
    <row r="13" spans="1:9" x14ac:dyDescent="0.2">
      <c r="A13" s="49">
        <v>42767</v>
      </c>
      <c r="B13" s="390">
        <v>14489.743129999997</v>
      </c>
      <c r="C13" s="386">
        <v>15706.513312339783</v>
      </c>
      <c r="D13">
        <f t="shared" si="0"/>
        <v>28</v>
      </c>
      <c r="E13" s="54">
        <f t="shared" si="1"/>
        <v>560.94690401213506</v>
      </c>
      <c r="G13" s="385">
        <f t="shared" si="2"/>
        <v>80350.073380000002</v>
      </c>
      <c r="H13" s="385">
        <f t="shared" si="3"/>
        <v>83816.192341327667</v>
      </c>
      <c r="I13" s="386"/>
    </row>
    <row r="14" spans="1:9" x14ac:dyDescent="0.2">
      <c r="A14" s="49">
        <v>42795</v>
      </c>
      <c r="B14" s="386">
        <v>0</v>
      </c>
      <c r="C14" s="386">
        <v>12446.936737060547</v>
      </c>
      <c r="D14">
        <f t="shared" si="0"/>
        <v>31</v>
      </c>
      <c r="E14" s="54">
        <f t="shared" si="1"/>
        <v>401.51408829227569</v>
      </c>
      <c r="G14" s="385">
        <f t="shared" si="2"/>
        <v>80350.073380000002</v>
      </c>
      <c r="H14" s="385">
        <f t="shared" si="3"/>
        <v>96263.129078388214</v>
      </c>
      <c r="I14" s="386"/>
    </row>
    <row r="15" spans="1:9" x14ac:dyDescent="0.2">
      <c r="A15" s="49">
        <v>42826</v>
      </c>
      <c r="B15" s="386">
        <v>0</v>
      </c>
      <c r="C15" s="386">
        <v>8334.4345111846924</v>
      </c>
      <c r="D15">
        <f t="shared" si="0"/>
        <v>30</v>
      </c>
      <c r="E15" s="54">
        <f t="shared" si="1"/>
        <v>277.81448370615641</v>
      </c>
      <c r="G15" s="385">
        <f t="shared" si="2"/>
        <v>80350.073380000002</v>
      </c>
      <c r="H15" s="385">
        <f t="shared" si="3"/>
        <v>104597.56358957291</v>
      </c>
      <c r="I15" s="386"/>
    </row>
    <row r="16" spans="1:9" x14ac:dyDescent="0.2">
      <c r="A16" s="49">
        <v>42856</v>
      </c>
      <c r="B16" s="386">
        <v>0</v>
      </c>
      <c r="C16" s="386">
        <v>5227.9681262969971</v>
      </c>
      <c r="D16">
        <f t="shared" si="0"/>
        <v>31</v>
      </c>
      <c r="E16" s="54">
        <f t="shared" si="1"/>
        <v>168.64413310635476</v>
      </c>
      <c r="G16" s="385">
        <f t="shared" si="2"/>
        <v>80350.073380000002</v>
      </c>
      <c r="H16" s="385">
        <f t="shared" si="3"/>
        <v>109825.5317158699</v>
      </c>
      <c r="I16" s="386"/>
    </row>
    <row r="17" spans="1:1" x14ac:dyDescent="0.2">
      <c r="A17" s="209"/>
    </row>
    <row r="18" spans="1:1" x14ac:dyDescent="0.2">
      <c r="A18" s="209"/>
    </row>
    <row r="19" spans="1:1" x14ac:dyDescent="0.2">
      <c r="A19" s="209"/>
    </row>
  </sheetData>
  <mergeCells count="1">
    <mergeCell ref="G3:I3"/>
  </mergeCells>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O31:Q32"/>
  <sheetViews>
    <sheetView topLeftCell="A13" workbookViewId="0">
      <selection activeCell="O31" sqref="O31"/>
    </sheetView>
  </sheetViews>
  <sheetFormatPr defaultRowHeight="15" x14ac:dyDescent="0.25"/>
  <cols>
    <col min="14" max="14" width="14.42578125" customWidth="1"/>
    <col min="15" max="17" width="2.85546875" style="396" customWidth="1"/>
  </cols>
  <sheetData>
    <row r="31" spans="15:17" ht="118.5" x14ac:dyDescent="0.2">
      <c r="O31" s="430" t="s">
        <v>298</v>
      </c>
      <c r="P31" s="397" t="s">
        <v>254</v>
      </c>
      <c r="Q31" s="137" t="s">
        <v>296</v>
      </c>
    </row>
    <row r="32" spans="15:17" ht="26.25" customHeight="1" x14ac:dyDescent="0.25"/>
  </sheetData>
  <pageMargins left="0.7" right="0.7" top="0.75" bottom="0.75" header="0.3" footer="0.3"/>
  <pageSetup scale="84"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O27:Q32"/>
  <sheetViews>
    <sheetView topLeftCell="A22" workbookViewId="0">
      <selection activeCell="O31" sqref="O31"/>
    </sheetView>
  </sheetViews>
  <sheetFormatPr defaultRowHeight="15" x14ac:dyDescent="0.25"/>
  <cols>
    <col min="1" max="13" width="8.28515625" style="387" customWidth="1"/>
    <col min="14" max="14" width="28.28515625" style="387" customWidth="1"/>
    <col min="15" max="17" width="2.85546875" style="398" customWidth="1"/>
    <col min="18" max="16384" width="9.140625" style="387"/>
  </cols>
  <sheetData>
    <row r="27" spans="15:17" ht="7.5" customHeight="1" x14ac:dyDescent="0.25"/>
    <row r="31" spans="15:17" ht="118.5" x14ac:dyDescent="0.25">
      <c r="O31" s="430" t="s">
        <v>299</v>
      </c>
      <c r="P31" s="397" t="s">
        <v>254</v>
      </c>
      <c r="Q31" s="137" t="s">
        <v>296</v>
      </c>
    </row>
    <row r="32" spans="15:17" ht="23.25" customHeight="1" x14ac:dyDescent="0.25">
      <c r="O32" s="399"/>
      <c r="P32" s="399"/>
    </row>
  </sheetData>
  <pageMargins left="0.7" right="0.7" top="0.75" bottom="0.75" header="0.3" footer="0.3"/>
  <pageSetup scale="84"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O31:Q32"/>
  <sheetViews>
    <sheetView topLeftCell="A18" zoomScaleNormal="100" workbookViewId="0">
      <selection activeCell="O31" sqref="O31"/>
    </sheetView>
  </sheetViews>
  <sheetFormatPr defaultRowHeight="15" x14ac:dyDescent="0.25"/>
  <cols>
    <col min="1" max="13" width="8.28515625" style="387" customWidth="1"/>
    <col min="14" max="14" width="23.5703125" style="387" customWidth="1"/>
    <col min="15" max="17" width="2.85546875" style="398" customWidth="1"/>
    <col min="18" max="16384" width="9.140625" style="387"/>
  </cols>
  <sheetData>
    <row r="31" spans="15:17" ht="118.5" x14ac:dyDescent="0.25">
      <c r="O31" s="430" t="s">
        <v>300</v>
      </c>
      <c r="P31" s="397" t="s">
        <v>254</v>
      </c>
      <c r="Q31" s="137" t="s">
        <v>296</v>
      </c>
    </row>
    <row r="32" spans="15:17" ht="24.75" customHeight="1" x14ac:dyDescent="0.25">
      <c r="O32" s="399"/>
      <c r="P32" s="399"/>
      <c r="Q32" s="399"/>
    </row>
  </sheetData>
  <pageMargins left="0.7" right="0.7" top="0.75" bottom="0.75" header="0.3" footer="0.3"/>
  <pageSetup scale="87" orientation="landscape" r:id="rId1"/>
  <rowBreaks count="1" manualBreakCount="1">
    <brk id="32" max="16"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zoomScaleNormal="100" workbookViewId="0">
      <selection activeCell="O31" sqref="O31"/>
    </sheetView>
  </sheetViews>
  <sheetFormatPr defaultRowHeight="12.75" x14ac:dyDescent="0.2"/>
  <cols>
    <col min="1" max="1" width="4.85546875" style="391" customWidth="1"/>
    <col min="2" max="2" width="30.7109375" style="391" bestFit="1" customWidth="1"/>
    <col min="3" max="7" width="10.28515625" style="391" customWidth="1"/>
    <col min="8" max="8" width="10.28515625" style="128" customWidth="1"/>
    <col min="9" max="16384" width="9.140625" style="391"/>
  </cols>
  <sheetData>
    <row r="1" spans="1:9" x14ac:dyDescent="0.2">
      <c r="H1" s="400" t="s">
        <v>296</v>
      </c>
    </row>
    <row r="2" spans="1:9" x14ac:dyDescent="0.2">
      <c r="H2" s="400" t="s">
        <v>254</v>
      </c>
    </row>
    <row r="3" spans="1:9" x14ac:dyDescent="0.2">
      <c r="H3" s="400" t="s">
        <v>301</v>
      </c>
    </row>
    <row r="5" spans="1:9" ht="7.5" customHeight="1" x14ac:dyDescent="0.2"/>
    <row r="6" spans="1:9" x14ac:dyDescent="0.2">
      <c r="B6" s="391" t="s">
        <v>262</v>
      </c>
    </row>
    <row r="7" spans="1:9" ht="6" customHeight="1" x14ac:dyDescent="0.2"/>
    <row r="8" spans="1:9" x14ac:dyDescent="0.2">
      <c r="B8" s="391" t="s">
        <v>263</v>
      </c>
      <c r="C8" s="40"/>
      <c r="D8" s="40"/>
      <c r="E8" s="40"/>
      <c r="F8" s="40"/>
      <c r="G8" s="40"/>
      <c r="H8" s="392"/>
    </row>
    <row r="9" spans="1:9" x14ac:dyDescent="0.2">
      <c r="C9" s="439">
        <v>42708</v>
      </c>
      <c r="D9" s="440"/>
      <c r="E9" s="439">
        <v>42739</v>
      </c>
      <c r="F9" s="441"/>
      <c r="G9" s="440">
        <v>42770</v>
      </c>
      <c r="H9" s="441"/>
      <c r="I9" s="128"/>
    </row>
    <row r="10" spans="1:9" ht="12.75" customHeight="1" x14ac:dyDescent="0.2">
      <c r="B10" s="391" t="s">
        <v>264</v>
      </c>
      <c r="C10" s="429" t="s">
        <v>1</v>
      </c>
      <c r="D10" s="395" t="s">
        <v>4</v>
      </c>
      <c r="E10" s="393" t="s">
        <v>1</v>
      </c>
      <c r="F10" s="394" t="s">
        <v>4</v>
      </c>
      <c r="G10" s="395" t="s">
        <v>1</v>
      </c>
      <c r="H10" s="394" t="s">
        <v>4</v>
      </c>
    </row>
    <row r="11" spans="1:9" ht="12.75" customHeight="1" x14ac:dyDescent="0.2">
      <c r="A11" s="391">
        <v>1</v>
      </c>
      <c r="B11" s="391" t="s">
        <v>265</v>
      </c>
      <c r="C11" s="416">
        <v>5712.3699999999981</v>
      </c>
      <c r="D11" s="415">
        <v>5699.6538491696119</v>
      </c>
      <c r="E11" s="416">
        <v>5410.81</v>
      </c>
      <c r="F11" s="402">
        <v>5610.8419172912836</v>
      </c>
      <c r="G11" s="401">
        <v>4947.4699999999975</v>
      </c>
      <c r="H11" s="402">
        <v>4965.6348265111446</v>
      </c>
    </row>
    <row r="12" spans="1:9" ht="12.75" customHeight="1" x14ac:dyDescent="0.2">
      <c r="A12" s="391">
        <f t="shared" ref="A12:A15" si="0">A11+1</f>
        <v>2</v>
      </c>
      <c r="B12" s="391" t="s">
        <v>266</v>
      </c>
      <c r="C12" s="416">
        <v>10338.923000000001</v>
      </c>
      <c r="D12" s="415">
        <v>7501.8310000000001</v>
      </c>
      <c r="E12" s="427">
        <v>13559.912</v>
      </c>
      <c r="F12" s="428">
        <v>9909.7489999999998</v>
      </c>
      <c r="G12" s="401">
        <v>6978.71</v>
      </c>
      <c r="H12" s="402">
        <v>8494.375</v>
      </c>
    </row>
    <row r="13" spans="1:9" ht="12.75" customHeight="1" x14ac:dyDescent="0.2">
      <c r="A13" s="391">
        <f t="shared" si="0"/>
        <v>3</v>
      </c>
      <c r="B13" s="391" t="s">
        <v>267</v>
      </c>
      <c r="C13" s="417">
        <v>4726.6719999999996</v>
      </c>
      <c r="D13" s="415">
        <v>6148.4430000000002</v>
      </c>
      <c r="E13" s="417">
        <v>3144.1759999999999</v>
      </c>
      <c r="F13" s="402">
        <v>4617.808</v>
      </c>
      <c r="G13" s="415">
        <v>2492.0439999999999</v>
      </c>
      <c r="H13" s="402">
        <v>2652.7489999999998</v>
      </c>
    </row>
    <row r="14" spans="1:9" ht="12.75" customHeight="1" x14ac:dyDescent="0.2">
      <c r="A14" s="391">
        <f t="shared" si="0"/>
        <v>4</v>
      </c>
      <c r="B14" s="391" t="s">
        <v>268</v>
      </c>
      <c r="C14" s="417">
        <v>64.602999999999994</v>
      </c>
      <c r="D14" s="415">
        <v>0</v>
      </c>
      <c r="E14" s="417">
        <v>292.07499999999999</v>
      </c>
      <c r="F14" s="402">
        <v>52.154000000000003</v>
      </c>
      <c r="G14" s="415">
        <v>56.58</v>
      </c>
      <c r="H14" s="402">
        <v>44.875</v>
      </c>
    </row>
    <row r="15" spans="1:9" ht="12.75" customHeight="1" x14ac:dyDescent="0.2">
      <c r="A15" s="391">
        <f t="shared" si="0"/>
        <v>5</v>
      </c>
      <c r="B15" s="391" t="s">
        <v>269</v>
      </c>
      <c r="C15" s="417">
        <v>48.441719999999997</v>
      </c>
      <c r="D15" s="415">
        <v>73.245000000000005</v>
      </c>
      <c r="E15" s="417">
        <v>55.365699999999997</v>
      </c>
      <c r="F15" s="402">
        <v>73.245000000000005</v>
      </c>
      <c r="G15" s="415">
        <v>68.837500000000006</v>
      </c>
      <c r="H15" s="402">
        <v>66.156999999999996</v>
      </c>
    </row>
    <row r="16" spans="1:9" ht="12.75" customHeight="1" x14ac:dyDescent="0.2">
      <c r="C16" s="417"/>
      <c r="D16" s="415"/>
      <c r="E16" s="417"/>
      <c r="F16" s="402"/>
      <c r="G16" s="415"/>
      <c r="H16" s="402"/>
    </row>
    <row r="17" spans="1:8" ht="12.75" customHeight="1" thickBot="1" x14ac:dyDescent="0.25">
      <c r="A17" s="391">
        <f>A15+1</f>
        <v>6</v>
      </c>
      <c r="B17" s="391" t="s">
        <v>270</v>
      </c>
      <c r="C17" s="418">
        <v>20891.009719999995</v>
      </c>
      <c r="D17" s="403">
        <v>19423.172849169612</v>
      </c>
      <c r="E17" s="418">
        <v>22462.3387</v>
      </c>
      <c r="F17" s="404">
        <v>20263.797917291282</v>
      </c>
      <c r="G17" s="403">
        <v>14543.641499999996</v>
      </c>
      <c r="H17" s="404">
        <v>16223.790826511144</v>
      </c>
    </row>
    <row r="18" spans="1:8" ht="12.75" customHeight="1" thickTop="1" x14ac:dyDescent="0.2">
      <c r="C18" s="417"/>
      <c r="D18" s="415"/>
      <c r="E18" s="417"/>
      <c r="F18" s="402"/>
      <c r="G18" s="415"/>
      <c r="H18" s="402"/>
    </row>
    <row r="19" spans="1:8" ht="12.75" customHeight="1" x14ac:dyDescent="0.2">
      <c r="B19" s="391" t="s">
        <v>271</v>
      </c>
      <c r="C19" s="417"/>
      <c r="D19" s="415"/>
      <c r="E19" s="417"/>
      <c r="F19" s="402"/>
      <c r="G19" s="415"/>
      <c r="H19" s="402"/>
    </row>
    <row r="20" spans="1:8" ht="12.75" customHeight="1" x14ac:dyDescent="0.2">
      <c r="A20" s="391">
        <v>7</v>
      </c>
      <c r="B20" s="391" t="s">
        <v>272</v>
      </c>
      <c r="C20" s="416">
        <v>19592.12818</v>
      </c>
      <c r="D20" s="401">
        <v>18491.82447052002</v>
      </c>
      <c r="E20" s="416">
        <v>21093.477179999998</v>
      </c>
      <c r="F20" s="405">
        <v>19498.209446907043</v>
      </c>
      <c r="G20" s="401">
        <v>14489.743129999997</v>
      </c>
      <c r="H20" s="405">
        <v>15706.513312339783</v>
      </c>
    </row>
    <row r="21" spans="1:8" ht="12.75" customHeight="1" x14ac:dyDescent="0.2">
      <c r="A21" s="391">
        <v>8</v>
      </c>
      <c r="B21" s="391" t="s">
        <v>273</v>
      </c>
      <c r="C21" s="416">
        <v>96.868340000000018</v>
      </c>
      <c r="D21" s="401">
        <v>84.018597364425659</v>
      </c>
      <c r="E21" s="416">
        <v>109.68092</v>
      </c>
      <c r="F21" s="405">
        <v>75.125705242156982</v>
      </c>
      <c r="G21" s="401">
        <v>78.97887999999999</v>
      </c>
      <c r="H21" s="405">
        <v>52.609936952590942</v>
      </c>
    </row>
    <row r="22" spans="1:8" ht="12.75" customHeight="1" x14ac:dyDescent="0.2">
      <c r="A22" s="391">
        <v>9</v>
      </c>
      <c r="B22" s="391" t="s">
        <v>274</v>
      </c>
      <c r="C22" s="417">
        <v>85.034999999999997</v>
      </c>
      <c r="D22" s="415">
        <v>0</v>
      </c>
      <c r="E22" s="416">
        <v>28.311</v>
      </c>
      <c r="F22" s="402">
        <v>0</v>
      </c>
      <c r="G22" s="415">
        <v>268.78100000000001</v>
      </c>
      <c r="H22" s="402">
        <v>0</v>
      </c>
    </row>
    <row r="23" spans="1:8" ht="12.75" customHeight="1" x14ac:dyDescent="0.2">
      <c r="A23" s="391">
        <v>10</v>
      </c>
      <c r="B23" s="391" t="s">
        <v>275</v>
      </c>
      <c r="C23" s="417">
        <v>253.13499999999999</v>
      </c>
      <c r="D23" s="415">
        <v>229.5</v>
      </c>
      <c r="E23" s="416">
        <v>295.26400000000001</v>
      </c>
      <c r="F23" s="402">
        <v>99.308999999999997</v>
      </c>
      <c r="G23" s="415">
        <v>0.25800000000000001</v>
      </c>
      <c r="H23" s="402">
        <v>0</v>
      </c>
    </row>
    <row r="24" spans="1:8" ht="12.75" customHeight="1" x14ac:dyDescent="0.2">
      <c r="A24" s="391">
        <v>11</v>
      </c>
      <c r="B24" s="391" t="s">
        <v>269</v>
      </c>
      <c r="C24" s="417">
        <v>48.441719999999997</v>
      </c>
      <c r="D24" s="415">
        <v>70.370002746582031</v>
      </c>
      <c r="E24" s="417">
        <v>55.365699999999997</v>
      </c>
      <c r="F24" s="402">
        <v>70.370002746582031</v>
      </c>
      <c r="G24" s="415">
        <v>68.837500000000006</v>
      </c>
      <c r="H24" s="402">
        <v>63.560001373291016</v>
      </c>
    </row>
    <row r="25" spans="1:8" ht="12.75" customHeight="1" x14ac:dyDescent="0.2">
      <c r="A25" s="391">
        <v>12</v>
      </c>
      <c r="B25" s="391" t="s">
        <v>276</v>
      </c>
      <c r="C25" s="417">
        <v>201.68799999999999</v>
      </c>
      <c r="D25" s="415">
        <v>447.84000000000003</v>
      </c>
      <c r="E25" s="417">
        <v>136.28200000000001</v>
      </c>
      <c r="F25" s="402">
        <v>415.84100000000001</v>
      </c>
      <c r="G25" s="415">
        <v>118.137</v>
      </c>
      <c r="H25" s="402">
        <v>316.61799999999999</v>
      </c>
    </row>
    <row r="26" spans="1:8" ht="12.75" customHeight="1" x14ac:dyDescent="0.2">
      <c r="A26" s="391">
        <v>13</v>
      </c>
      <c r="B26" s="391" t="s">
        <v>277</v>
      </c>
      <c r="C26" s="417">
        <v>614.03499999999997</v>
      </c>
      <c r="D26" s="406">
        <v>99.618934154510498</v>
      </c>
      <c r="E26" s="417">
        <v>743.8</v>
      </c>
      <c r="F26" s="407">
        <v>104.9420410990715</v>
      </c>
      <c r="G26" s="415">
        <v>-480.82499999999999</v>
      </c>
      <c r="H26" s="407">
        <v>84.488777905702591</v>
      </c>
    </row>
    <row r="27" spans="1:8" ht="12.75" customHeight="1" x14ac:dyDescent="0.2">
      <c r="C27" s="417"/>
      <c r="D27" s="415"/>
      <c r="E27" s="417"/>
      <c r="F27" s="402"/>
      <c r="G27" s="415"/>
      <c r="H27" s="402"/>
    </row>
    <row r="28" spans="1:8" ht="12.75" customHeight="1" thickBot="1" x14ac:dyDescent="0.25">
      <c r="A28" s="391">
        <f>A26+1</f>
        <v>14</v>
      </c>
      <c r="B28" s="391" t="s">
        <v>278</v>
      </c>
      <c r="C28" s="418">
        <v>20891.331239999996</v>
      </c>
      <c r="D28" s="403">
        <v>19423.172004785538</v>
      </c>
      <c r="E28" s="418">
        <v>22462.180799999995</v>
      </c>
      <c r="F28" s="404">
        <v>20263.797195994855</v>
      </c>
      <c r="G28" s="403">
        <v>14543.910509999998</v>
      </c>
      <c r="H28" s="404">
        <v>16223.790028571368</v>
      </c>
    </row>
    <row r="29" spans="1:8" ht="12.75" customHeight="1" thickTop="1" x14ac:dyDescent="0.2">
      <c r="B29" s="391" t="s">
        <v>279</v>
      </c>
      <c r="C29" s="417"/>
      <c r="D29" s="415"/>
      <c r="E29" s="417"/>
      <c r="F29" s="402"/>
      <c r="G29" s="415"/>
      <c r="H29" s="402"/>
    </row>
    <row r="30" spans="1:8" ht="12.75" customHeight="1" x14ac:dyDescent="0.2">
      <c r="C30" s="417"/>
      <c r="D30" s="415"/>
      <c r="E30" s="417"/>
      <c r="F30" s="402"/>
      <c r="G30" s="415"/>
      <c r="H30" s="402"/>
    </row>
    <row r="31" spans="1:8" ht="12.75" customHeight="1" x14ac:dyDescent="0.2">
      <c r="A31" s="391">
        <f>A28+1</f>
        <v>15</v>
      </c>
      <c r="B31" s="391" t="s">
        <v>280</v>
      </c>
      <c r="C31" s="417">
        <v>-4.2999999999999997E-2</v>
      </c>
      <c r="D31" s="415">
        <v>0</v>
      </c>
      <c r="E31" s="417">
        <v>-4.2000000000000003E-2</v>
      </c>
      <c r="F31" s="402">
        <v>0</v>
      </c>
      <c r="G31" s="415">
        <v>-3.5999999999999997E-2</v>
      </c>
      <c r="H31" s="402">
        <v>0</v>
      </c>
    </row>
    <row r="32" spans="1:8" ht="12.75" customHeight="1" x14ac:dyDescent="0.2">
      <c r="A32" s="391">
        <f t="shared" ref="A32" si="1">A31+1</f>
        <v>16</v>
      </c>
      <c r="B32" s="391" t="s">
        <v>281</v>
      </c>
      <c r="C32" s="417">
        <v>0</v>
      </c>
      <c r="D32" s="415">
        <v>0</v>
      </c>
      <c r="E32" s="417">
        <v>0</v>
      </c>
      <c r="F32" s="402">
        <v>0</v>
      </c>
      <c r="G32" s="415">
        <v>0</v>
      </c>
      <c r="H32" s="402">
        <v>0</v>
      </c>
    </row>
    <row r="33" spans="1:9" ht="12.75" customHeight="1" x14ac:dyDescent="0.2">
      <c r="A33" s="391">
        <f>A32+1</f>
        <v>17</v>
      </c>
      <c r="B33" s="391" t="s">
        <v>282</v>
      </c>
      <c r="C33" s="417">
        <v>-57.633000000000003</v>
      </c>
      <c r="D33" s="415">
        <v>0</v>
      </c>
      <c r="E33" s="417">
        <v>-10.391999999999999</v>
      </c>
      <c r="F33" s="402">
        <v>0</v>
      </c>
      <c r="G33" s="415">
        <v>-6.49</v>
      </c>
      <c r="H33" s="402">
        <v>0</v>
      </c>
    </row>
    <row r="34" spans="1:9" ht="12.75" customHeight="1" x14ac:dyDescent="0.2">
      <c r="A34" s="391">
        <f>A33+1</f>
        <v>18</v>
      </c>
      <c r="B34" s="391" t="s">
        <v>283</v>
      </c>
      <c r="C34" s="417">
        <v>0</v>
      </c>
      <c r="D34" s="415">
        <v>0</v>
      </c>
      <c r="E34" s="417">
        <v>0</v>
      </c>
      <c r="F34" s="402">
        <v>0</v>
      </c>
      <c r="G34" s="415">
        <v>0</v>
      </c>
      <c r="H34" s="402">
        <v>0</v>
      </c>
    </row>
    <row r="35" spans="1:9" ht="12.75" customHeight="1" x14ac:dyDescent="0.2">
      <c r="A35" s="391">
        <f>A34+1</f>
        <v>19</v>
      </c>
      <c r="B35" s="391" t="s">
        <v>284</v>
      </c>
      <c r="C35" s="417">
        <v>8147.765000000004</v>
      </c>
      <c r="D35" s="415">
        <v>5926.5569999999998</v>
      </c>
      <c r="E35" s="417">
        <v>5031.8580000000029</v>
      </c>
      <c r="F35" s="402">
        <v>1308.7489999999998</v>
      </c>
      <c r="G35" s="415">
        <v>2808.5590000000029</v>
      </c>
      <c r="H35" s="402">
        <v>-1344</v>
      </c>
    </row>
    <row r="36" spans="1:9" ht="12.75" customHeight="1" x14ac:dyDescent="0.2">
      <c r="A36" s="391">
        <f t="shared" ref="A36:A39" si="2">A35+1</f>
        <v>20</v>
      </c>
      <c r="B36" s="391" t="s">
        <v>285</v>
      </c>
      <c r="C36" s="417">
        <v>1796.6889999999999</v>
      </c>
      <c r="D36" s="415">
        <v>1807.0990000000002</v>
      </c>
      <c r="E36" s="417">
        <v>1789.4859999999996</v>
      </c>
      <c r="F36" s="402">
        <v>1854.2540000000001</v>
      </c>
      <c r="G36" s="415">
        <v>1726.6739999999998</v>
      </c>
      <c r="H36" s="402">
        <v>1809.3790000000001</v>
      </c>
    </row>
    <row r="37" spans="1:9" ht="12.75" customHeight="1" x14ac:dyDescent="0.2">
      <c r="C37" s="417"/>
      <c r="D37" s="415"/>
      <c r="E37" s="417"/>
      <c r="F37" s="402"/>
      <c r="G37" s="415"/>
      <c r="H37" s="402"/>
    </row>
    <row r="38" spans="1:9" ht="12.75" customHeight="1" x14ac:dyDescent="0.2">
      <c r="A38" s="391">
        <f>A36+1</f>
        <v>21</v>
      </c>
      <c r="B38" s="391" t="s">
        <v>286</v>
      </c>
      <c r="C38" s="419">
        <v>3.45</v>
      </c>
      <c r="D38" s="408">
        <v>2.8286254382430105</v>
      </c>
      <c r="E38" s="419">
        <v>3.39</v>
      </c>
      <c r="F38" s="409">
        <v>2.8555213658791962</v>
      </c>
      <c r="G38" s="408">
        <v>2.79</v>
      </c>
      <c r="H38" s="409">
        <v>2.7716141564270482</v>
      </c>
    </row>
    <row r="39" spans="1:9" ht="12.75" customHeight="1" x14ac:dyDescent="0.2">
      <c r="A39" s="391">
        <f t="shared" si="2"/>
        <v>22</v>
      </c>
      <c r="B39" s="391" t="s">
        <v>287</v>
      </c>
      <c r="C39" s="420">
        <v>35669.284350000002</v>
      </c>
      <c r="D39" s="410">
        <v>21219.870000000003</v>
      </c>
      <c r="E39" s="420">
        <v>45968.10168</v>
      </c>
      <c r="F39" s="414">
        <v>28297.5</v>
      </c>
      <c r="G39" s="410">
        <v>19470.600900000001</v>
      </c>
      <c r="H39" s="414">
        <v>23543.130000000008</v>
      </c>
    </row>
    <row r="40" spans="1:9" ht="12.75" customHeight="1" x14ac:dyDescent="0.2">
      <c r="C40" s="421"/>
      <c r="D40" s="422"/>
      <c r="E40" s="421"/>
      <c r="F40" s="411"/>
      <c r="G40" s="422"/>
      <c r="H40" s="411"/>
    </row>
    <row r="41" spans="1:9" ht="12.75" customHeight="1" x14ac:dyDescent="0.2">
      <c r="B41" s="391" t="s">
        <v>288</v>
      </c>
      <c r="C41" s="421"/>
      <c r="D41" s="422"/>
      <c r="E41" s="421"/>
      <c r="F41" s="411"/>
      <c r="G41" s="422"/>
      <c r="H41" s="411"/>
    </row>
    <row r="42" spans="1:9" ht="12.75" customHeight="1" x14ac:dyDescent="0.2">
      <c r="A42" s="391">
        <f>A39+1</f>
        <v>23</v>
      </c>
      <c r="B42" s="391" t="s">
        <v>289</v>
      </c>
      <c r="C42" s="417">
        <v>12.716150830386141</v>
      </c>
      <c r="D42" s="415">
        <v>0</v>
      </c>
      <c r="E42" s="417">
        <v>0</v>
      </c>
      <c r="F42" s="402">
        <v>0</v>
      </c>
      <c r="G42" s="415">
        <v>0</v>
      </c>
      <c r="H42" s="402">
        <v>0</v>
      </c>
    </row>
    <row r="43" spans="1:9" ht="12.75" customHeight="1" x14ac:dyDescent="0.2">
      <c r="A43" s="391">
        <f>A42+1</f>
        <v>24</v>
      </c>
      <c r="B43" s="391" t="s">
        <v>290</v>
      </c>
      <c r="C43" s="417">
        <v>2837.0920000000006</v>
      </c>
      <c r="D43" s="415">
        <v>0</v>
      </c>
      <c r="E43" s="417">
        <v>3650.1630000000005</v>
      </c>
      <c r="F43" s="402">
        <v>0</v>
      </c>
      <c r="G43" s="415">
        <v>0</v>
      </c>
      <c r="H43" s="402">
        <v>0</v>
      </c>
    </row>
    <row r="44" spans="1:9" ht="12.75" customHeight="1" x14ac:dyDescent="0.2">
      <c r="A44" s="391">
        <f>A43+1</f>
        <v>25</v>
      </c>
      <c r="B44" s="391" t="s">
        <v>291</v>
      </c>
      <c r="C44" s="423">
        <v>14449.414349999999</v>
      </c>
      <c r="D44" s="412">
        <v>0</v>
      </c>
      <c r="E44" s="423">
        <v>17670.60168</v>
      </c>
      <c r="F44" s="413">
        <v>0</v>
      </c>
      <c r="G44" s="412">
        <v>0</v>
      </c>
      <c r="H44" s="413">
        <v>-4072.529100000007</v>
      </c>
      <c r="I44" s="128"/>
    </row>
    <row r="45" spans="1:9" ht="12.75" customHeight="1" x14ac:dyDescent="0.2">
      <c r="A45" s="391">
        <f>A44+1</f>
        <v>26</v>
      </c>
      <c r="B45" s="391" t="s">
        <v>292</v>
      </c>
      <c r="C45" s="420">
        <v>8025.0706018357405</v>
      </c>
      <c r="D45" s="410">
        <v>0</v>
      </c>
      <c r="E45" s="420">
        <v>10423.118435441706</v>
      </c>
      <c r="F45" s="414">
        <v>0</v>
      </c>
      <c r="G45" s="410">
        <v>0</v>
      </c>
      <c r="H45" s="414">
        <v>-4200.8385704010016</v>
      </c>
      <c r="I45" s="128"/>
    </row>
    <row r="46" spans="1:9" ht="12.75" customHeight="1" x14ac:dyDescent="0.2">
      <c r="A46" s="391">
        <f t="shared" ref="A46:A51" si="3">A45+1</f>
        <v>27</v>
      </c>
      <c r="B46" s="391" t="s">
        <v>293</v>
      </c>
      <c r="C46" s="423">
        <v>6424.3437481642613</v>
      </c>
      <c r="D46" s="412">
        <v>0</v>
      </c>
      <c r="E46" s="423">
        <v>7247.4832445582979</v>
      </c>
      <c r="F46" s="413">
        <v>0</v>
      </c>
      <c r="G46" s="412">
        <v>0</v>
      </c>
      <c r="H46" s="413">
        <v>128.30947040099451</v>
      </c>
      <c r="I46" s="128"/>
    </row>
    <row r="47" spans="1:9" ht="12.75" customHeight="1" x14ac:dyDescent="0.2">
      <c r="A47" s="391">
        <f t="shared" si="3"/>
        <v>28</v>
      </c>
      <c r="B47" s="391" t="s">
        <v>294</v>
      </c>
      <c r="C47" s="420">
        <v>0</v>
      </c>
      <c r="D47" s="410">
        <v>0</v>
      </c>
      <c r="E47" s="420">
        <v>0</v>
      </c>
      <c r="F47" s="414">
        <v>0</v>
      </c>
      <c r="G47" s="410">
        <v>0</v>
      </c>
      <c r="H47" s="414">
        <v>0</v>
      </c>
      <c r="I47" s="128"/>
    </row>
    <row r="48" spans="1:9" ht="12.75" customHeight="1" x14ac:dyDescent="0.2">
      <c r="A48" s="391">
        <f t="shared" si="3"/>
        <v>29</v>
      </c>
      <c r="B48" s="391" t="s">
        <v>295</v>
      </c>
      <c r="C48" s="421"/>
      <c r="D48" s="422"/>
      <c r="E48" s="421"/>
      <c r="F48" s="411"/>
      <c r="G48" s="412">
        <v>28047.486929999992</v>
      </c>
      <c r="H48" s="411"/>
      <c r="I48" s="128"/>
    </row>
    <row r="49" spans="1:9" ht="12.75" customHeight="1" x14ac:dyDescent="0.2">
      <c r="A49" s="391">
        <f t="shared" si="3"/>
        <v>30</v>
      </c>
      <c r="B49" s="391" t="s">
        <v>292</v>
      </c>
      <c r="C49" s="421"/>
      <c r="D49" s="422"/>
      <c r="E49" s="421"/>
      <c r="F49" s="411"/>
      <c r="G49" s="415">
        <v>14247.350466876445</v>
      </c>
      <c r="H49" s="411"/>
      <c r="I49" s="128"/>
    </row>
    <row r="50" spans="1:9" ht="12.75" customHeight="1" x14ac:dyDescent="0.2">
      <c r="A50" s="391">
        <f t="shared" si="3"/>
        <v>31</v>
      </c>
      <c r="B50" s="391" t="s">
        <v>293</v>
      </c>
      <c r="C50" s="421"/>
      <c r="D50" s="422"/>
      <c r="E50" s="421"/>
      <c r="F50" s="411"/>
      <c r="G50" s="412">
        <v>13800.136463123554</v>
      </c>
      <c r="H50" s="411"/>
      <c r="I50" s="128"/>
    </row>
    <row r="51" spans="1:9" ht="12.75" customHeight="1" x14ac:dyDescent="0.2">
      <c r="A51" s="391">
        <f t="shared" si="3"/>
        <v>32</v>
      </c>
      <c r="B51" s="391" t="s">
        <v>294</v>
      </c>
      <c r="C51" s="424"/>
      <c r="D51" s="425"/>
      <c r="E51" s="424"/>
      <c r="F51" s="426"/>
      <c r="G51" s="412">
        <v>0</v>
      </c>
      <c r="H51" s="426"/>
      <c r="I51" s="128"/>
    </row>
    <row r="52" spans="1:9" ht="12.75" customHeight="1" x14ac:dyDescent="0.2">
      <c r="I52" s="128"/>
    </row>
    <row r="53" spans="1:9" ht="12.75" customHeight="1" x14ac:dyDescent="0.2"/>
    <row r="54" spans="1:9" ht="12.75" customHeight="1" x14ac:dyDescent="0.2"/>
    <row r="55" spans="1:9" ht="12.75" customHeight="1" x14ac:dyDescent="0.2"/>
    <row r="56" spans="1:9" ht="12.75" customHeight="1" x14ac:dyDescent="0.2"/>
    <row r="57" spans="1:9" ht="12.75" customHeight="1" x14ac:dyDescent="0.2"/>
    <row r="58" spans="1:9" ht="12.75" customHeight="1" x14ac:dyDescent="0.2"/>
  </sheetData>
  <mergeCells count="3">
    <mergeCell ref="C9:D9"/>
    <mergeCell ref="E9:F9"/>
    <mergeCell ref="G9:H9"/>
  </mergeCells>
  <pageMargins left="0.7" right="0.7" top="0.75" bottom="0.75" header="0.3" footer="0.3"/>
  <pageSetup scale="9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Z57"/>
  <sheetViews>
    <sheetView zoomScale="90" zoomScaleNormal="90" workbookViewId="0">
      <selection activeCell="B14" sqref="B14"/>
    </sheetView>
  </sheetViews>
  <sheetFormatPr defaultRowHeight="12.75" x14ac:dyDescent="0.2"/>
  <cols>
    <col min="1" max="1" width="10.7109375" customWidth="1"/>
    <col min="3" max="3" width="11.42578125" customWidth="1"/>
    <col min="10" max="12" width="15.42578125" customWidth="1"/>
    <col min="13" max="13" width="10.7109375" bestFit="1" customWidth="1"/>
    <col min="14" max="14" width="15.85546875" customWidth="1"/>
  </cols>
  <sheetData>
    <row r="1" spans="1:26" x14ac:dyDescent="0.2">
      <c r="A1" s="7" t="s">
        <v>11</v>
      </c>
    </row>
    <row r="2" spans="1:26" x14ac:dyDescent="0.2">
      <c r="A2" s="7" t="s">
        <v>52</v>
      </c>
      <c r="M2" s="17"/>
      <c r="N2" s="17"/>
      <c r="O2" s="17"/>
    </row>
    <row r="3" spans="1:26" x14ac:dyDescent="0.2">
      <c r="A3" s="7" t="s">
        <v>77</v>
      </c>
      <c r="M3" s="17"/>
      <c r="N3" s="31"/>
      <c r="O3" s="17"/>
      <c r="P3" s="62"/>
      <c r="Q3" s="8"/>
      <c r="R3" s="8"/>
      <c r="S3" s="8"/>
      <c r="T3" s="8"/>
      <c r="U3" s="8"/>
      <c r="V3" s="8"/>
      <c r="W3" s="8"/>
      <c r="X3" s="8"/>
      <c r="Y3" s="8"/>
      <c r="Z3" s="8"/>
    </row>
    <row r="4" spans="1:26" x14ac:dyDescent="0.2">
      <c r="G4" s="442" t="s">
        <v>16</v>
      </c>
      <c r="H4" s="442"/>
      <c r="I4" s="172"/>
      <c r="P4" s="8"/>
      <c r="Q4" s="8"/>
      <c r="R4" s="8"/>
      <c r="S4" s="8"/>
      <c r="T4" s="8"/>
      <c r="U4" s="8"/>
      <c r="V4" s="8"/>
      <c r="W4" s="8"/>
      <c r="X4" s="8"/>
      <c r="Y4" s="8"/>
      <c r="Z4" s="8"/>
    </row>
    <row r="5" spans="1:26" x14ac:dyDescent="0.2">
      <c r="A5" s="2" t="s">
        <v>0</v>
      </c>
      <c r="B5" s="2" t="s">
        <v>1</v>
      </c>
      <c r="C5" s="5" t="s">
        <v>258</v>
      </c>
      <c r="E5" s="61" t="s">
        <v>0</v>
      </c>
      <c r="F5" s="2" t="s">
        <v>1</v>
      </c>
      <c r="G5" s="2" t="s">
        <v>258</v>
      </c>
      <c r="I5" s="2" t="s">
        <v>0</v>
      </c>
      <c r="J5" s="2" t="s">
        <v>20</v>
      </c>
      <c r="K5" s="2" t="s">
        <v>21</v>
      </c>
      <c r="L5" s="11" t="s">
        <v>22</v>
      </c>
      <c r="M5" s="10" t="s">
        <v>23</v>
      </c>
      <c r="N5" s="8"/>
      <c r="O5" s="70"/>
      <c r="P5" s="70"/>
      <c r="Q5" s="70"/>
      <c r="R5" s="70"/>
      <c r="S5" s="70"/>
      <c r="T5" s="70"/>
      <c r="U5" s="70"/>
      <c r="V5" s="70"/>
      <c r="W5" s="70"/>
      <c r="X5" s="70"/>
    </row>
    <row r="6" spans="1:26" x14ac:dyDescent="0.2">
      <c r="A6" s="1">
        <f>'Ex 1 HDD'!A8</f>
        <v>42522</v>
      </c>
      <c r="B6" s="73">
        <f t="shared" ref="B6:B17" si="0">K6</f>
        <v>0.748</v>
      </c>
      <c r="C6" s="223">
        <v>830.27599999999995</v>
      </c>
      <c r="D6" s="76"/>
      <c r="E6" s="49">
        <f t="shared" ref="E6:E17" si="1">A6</f>
        <v>42522</v>
      </c>
      <c r="F6" s="3">
        <f>K6</f>
        <v>0.748</v>
      </c>
      <c r="G6" s="73">
        <f>C6</f>
        <v>830.27599999999995</v>
      </c>
      <c r="H6" s="76"/>
      <c r="I6" s="1">
        <f t="shared" ref="I6:I17" si="2">A6</f>
        <v>42522</v>
      </c>
      <c r="J6" s="102">
        <v>748</v>
      </c>
      <c r="K6" s="205">
        <f t="shared" ref="K6:K17" si="3">J6/1000</f>
        <v>0.748</v>
      </c>
      <c r="L6" s="135">
        <v>925.28</v>
      </c>
      <c r="M6" s="52">
        <f t="shared" ref="M6:M17" si="4">L6/1000</f>
        <v>0.92527999999999999</v>
      </c>
      <c r="N6" s="8"/>
      <c r="O6" s="222"/>
      <c r="Q6" s="43"/>
      <c r="R6" s="43"/>
      <c r="S6" s="43"/>
      <c r="T6" s="43"/>
      <c r="U6" s="43"/>
      <c r="V6" s="43"/>
      <c r="W6" s="43"/>
      <c r="X6" s="43"/>
    </row>
    <row r="7" spans="1:26" x14ac:dyDescent="0.2">
      <c r="A7" s="1">
        <f>'Ex 1 HDD'!A9</f>
        <v>42552</v>
      </c>
      <c r="B7" s="73">
        <f t="shared" si="0"/>
        <v>1.4239999999999999</v>
      </c>
      <c r="C7" s="223">
        <v>162.72399999999999</v>
      </c>
      <c r="D7" s="76"/>
      <c r="E7" s="49">
        <f t="shared" si="1"/>
        <v>42552</v>
      </c>
      <c r="F7" s="3">
        <f t="shared" ref="F7:F17" si="5">F6+K7</f>
        <v>2.1719999999999997</v>
      </c>
      <c r="G7" s="73">
        <f t="shared" ref="G7:G17" si="6">G6+C7</f>
        <v>993</v>
      </c>
      <c r="H7" s="76"/>
      <c r="I7" s="1">
        <f t="shared" si="2"/>
        <v>42552</v>
      </c>
      <c r="J7" s="102">
        <v>1424</v>
      </c>
      <c r="K7" s="205">
        <f t="shared" si="3"/>
        <v>1.4239999999999999</v>
      </c>
      <c r="L7" s="53">
        <v>2815.82</v>
      </c>
      <c r="M7" s="52">
        <f t="shared" si="4"/>
        <v>2.81582</v>
      </c>
      <c r="N7" s="8"/>
      <c r="O7" s="43"/>
      <c r="Q7" s="43"/>
      <c r="R7" s="43"/>
      <c r="S7" s="43"/>
      <c r="T7" s="43"/>
      <c r="U7" s="43"/>
      <c r="V7" s="43"/>
      <c r="W7" s="43"/>
      <c r="X7" s="43"/>
    </row>
    <row r="8" spans="1:26" x14ac:dyDescent="0.2">
      <c r="A8" s="1">
        <f>'Ex 1 HDD'!A10</f>
        <v>42583</v>
      </c>
      <c r="B8" s="73">
        <f t="shared" si="0"/>
        <v>0.13200000000000001</v>
      </c>
      <c r="C8" s="223">
        <v>120.631</v>
      </c>
      <c r="D8" s="76"/>
      <c r="E8" s="49">
        <f t="shared" si="1"/>
        <v>42583</v>
      </c>
      <c r="F8" s="73">
        <f t="shared" si="5"/>
        <v>2.3039999999999998</v>
      </c>
      <c r="G8" s="73">
        <f t="shared" si="6"/>
        <v>1113.6310000000001</v>
      </c>
      <c r="H8" s="76"/>
      <c r="I8" s="1">
        <f t="shared" si="2"/>
        <v>42583</v>
      </c>
      <c r="J8" s="102">
        <v>132</v>
      </c>
      <c r="K8" s="205">
        <f t="shared" si="3"/>
        <v>0.13200000000000001</v>
      </c>
      <c r="L8" s="53">
        <v>259.68</v>
      </c>
      <c r="M8" s="52">
        <f t="shared" si="4"/>
        <v>0.25968000000000002</v>
      </c>
      <c r="N8" s="8"/>
      <c r="O8" s="43"/>
      <c r="Q8" s="43"/>
      <c r="R8" s="43"/>
      <c r="S8" s="43"/>
      <c r="T8" s="43"/>
      <c r="U8" s="43"/>
      <c r="V8" s="43"/>
      <c r="W8" s="43"/>
      <c r="X8" s="43"/>
    </row>
    <row r="9" spans="1:26" x14ac:dyDescent="0.2">
      <c r="A9" s="1">
        <f>'Ex 1 HDD'!A11</f>
        <v>42614</v>
      </c>
      <c r="B9" s="73">
        <f t="shared" si="0"/>
        <v>730</v>
      </c>
      <c r="C9" s="73">
        <v>521.31700000000001</v>
      </c>
      <c r="D9" s="83"/>
      <c r="E9" s="49">
        <f t="shared" si="1"/>
        <v>42614</v>
      </c>
      <c r="F9" s="73">
        <f t="shared" si="5"/>
        <v>732.30399999999997</v>
      </c>
      <c r="G9" s="73">
        <f t="shared" si="6"/>
        <v>1634.9480000000001</v>
      </c>
      <c r="H9" s="83"/>
      <c r="I9" s="1">
        <f t="shared" si="2"/>
        <v>42614</v>
      </c>
      <c r="J9" s="102">
        <v>730000</v>
      </c>
      <c r="K9" s="205">
        <f t="shared" si="3"/>
        <v>730</v>
      </c>
      <c r="L9" s="53">
        <v>2026550</v>
      </c>
      <c r="M9" s="52">
        <f t="shared" si="4"/>
        <v>2026.55</v>
      </c>
      <c r="N9" s="8"/>
      <c r="O9" s="43"/>
      <c r="Q9" s="43"/>
      <c r="R9" s="43"/>
      <c r="S9" s="43"/>
      <c r="T9" s="43"/>
      <c r="U9" s="43"/>
      <c r="V9" s="43"/>
      <c r="W9" s="43"/>
      <c r="X9" s="43"/>
    </row>
    <row r="10" spans="1:26" x14ac:dyDescent="0.2">
      <c r="A10" s="1">
        <f>'Ex 1 HDD'!A12</f>
        <v>42644</v>
      </c>
      <c r="B10" s="73">
        <f t="shared" si="0"/>
        <v>760</v>
      </c>
      <c r="C10" s="73">
        <v>3811.721</v>
      </c>
      <c r="D10" s="152"/>
      <c r="E10" s="49">
        <f t="shared" si="1"/>
        <v>42644</v>
      </c>
      <c r="F10" s="73">
        <f t="shared" si="5"/>
        <v>1492.3040000000001</v>
      </c>
      <c r="G10" s="73">
        <f t="shared" si="6"/>
        <v>5446.6689999999999</v>
      </c>
      <c r="H10" s="76"/>
      <c r="I10" s="1">
        <f t="shared" si="2"/>
        <v>42644</v>
      </c>
      <c r="J10" s="102">
        <v>760000</v>
      </c>
      <c r="K10" s="205">
        <f t="shared" si="3"/>
        <v>760</v>
      </c>
      <c r="L10" s="53">
        <v>2032875</v>
      </c>
      <c r="M10" s="52">
        <f t="shared" si="4"/>
        <v>2032.875</v>
      </c>
      <c r="N10" s="8"/>
      <c r="O10" s="43"/>
      <c r="Q10" s="43"/>
      <c r="R10" s="43"/>
      <c r="S10" s="43"/>
      <c r="T10" s="43"/>
      <c r="U10" s="43"/>
      <c r="V10" s="43"/>
      <c r="W10" s="43"/>
      <c r="X10" s="43"/>
    </row>
    <row r="11" spans="1:26" x14ac:dyDescent="0.2">
      <c r="A11" s="1">
        <f>'Ex 1 HDD'!A13</f>
        <v>42675</v>
      </c>
      <c r="B11" s="73">
        <f t="shared" si="0"/>
        <v>5190.8999999999996</v>
      </c>
      <c r="C11" s="73">
        <v>7397.0569999999998</v>
      </c>
      <c r="D11" s="152"/>
      <c r="E11" s="49">
        <f t="shared" si="1"/>
        <v>42675</v>
      </c>
      <c r="F11" s="73">
        <f t="shared" si="5"/>
        <v>6683.2039999999997</v>
      </c>
      <c r="G11" s="73">
        <f t="shared" si="6"/>
        <v>12843.725999999999</v>
      </c>
      <c r="H11" s="76"/>
      <c r="I11" s="1">
        <f t="shared" si="2"/>
        <v>42675</v>
      </c>
      <c r="J11" s="102">
        <v>5190900</v>
      </c>
      <c r="K11" s="205">
        <f t="shared" si="3"/>
        <v>5190.8999999999996</v>
      </c>
      <c r="L11" s="53">
        <v>13257489.5</v>
      </c>
      <c r="M11" s="52">
        <f t="shared" si="4"/>
        <v>13257.4895</v>
      </c>
      <c r="N11" s="8"/>
      <c r="O11" s="43"/>
      <c r="Q11" s="43"/>
      <c r="R11" s="43"/>
      <c r="S11" s="43"/>
      <c r="T11" s="43"/>
      <c r="U11" s="43"/>
      <c r="V11" s="43"/>
      <c r="W11" s="43"/>
      <c r="X11" s="43"/>
    </row>
    <row r="12" spans="1:26" x14ac:dyDescent="0.2">
      <c r="A12" s="1">
        <f>'Ex 1 HDD'!A14</f>
        <v>42705</v>
      </c>
      <c r="B12" s="73">
        <f t="shared" si="0"/>
        <v>10338.923000000001</v>
      </c>
      <c r="C12" s="73">
        <v>7501.8310000000001</v>
      </c>
      <c r="D12" s="152"/>
      <c r="E12" s="49">
        <f t="shared" si="1"/>
        <v>42705</v>
      </c>
      <c r="F12" s="73">
        <f t="shared" si="5"/>
        <v>17022.127</v>
      </c>
      <c r="G12" s="73">
        <f t="shared" si="6"/>
        <v>20345.557000000001</v>
      </c>
      <c r="H12" s="76"/>
      <c r="I12" s="1">
        <f t="shared" si="2"/>
        <v>42705</v>
      </c>
      <c r="J12" s="102">
        <v>10338923</v>
      </c>
      <c r="K12" s="205">
        <f t="shared" si="3"/>
        <v>10338.923000000001</v>
      </c>
      <c r="L12" s="53">
        <v>35640103.75</v>
      </c>
      <c r="M12" s="52">
        <f t="shared" si="4"/>
        <v>35640.103750000002</v>
      </c>
      <c r="N12" s="8"/>
      <c r="O12" s="43"/>
      <c r="Q12" s="43"/>
      <c r="R12" s="43"/>
      <c r="S12" s="43"/>
      <c r="T12" s="43"/>
      <c r="U12" s="43"/>
      <c r="V12" s="43"/>
      <c r="W12" s="43"/>
      <c r="X12" s="43"/>
    </row>
    <row r="13" spans="1:26" x14ac:dyDescent="0.2">
      <c r="A13" s="1">
        <f>'Ex 1 HDD'!A15</f>
        <v>42736</v>
      </c>
      <c r="B13" s="73">
        <f t="shared" si="0"/>
        <v>13559.912</v>
      </c>
      <c r="C13" s="73">
        <v>9909.7489999999998</v>
      </c>
      <c r="D13" s="152"/>
      <c r="E13" s="49">
        <f t="shared" si="1"/>
        <v>42736</v>
      </c>
      <c r="F13" s="73">
        <f t="shared" si="5"/>
        <v>30582.039000000001</v>
      </c>
      <c r="G13" s="73">
        <f t="shared" si="6"/>
        <v>30255.306</v>
      </c>
      <c r="H13" s="76"/>
      <c r="I13" s="1">
        <f t="shared" si="2"/>
        <v>42736</v>
      </c>
      <c r="J13" s="102">
        <v>13559912</v>
      </c>
      <c r="K13" s="205">
        <f t="shared" si="3"/>
        <v>13559.912</v>
      </c>
      <c r="L13" s="53">
        <v>45914593.32</v>
      </c>
      <c r="M13" s="52">
        <f t="shared" si="4"/>
        <v>45914.59332</v>
      </c>
      <c r="N13" s="8"/>
      <c r="O13" s="43"/>
      <c r="Q13" s="43"/>
      <c r="R13" s="43"/>
      <c r="S13" s="43"/>
      <c r="T13" s="43"/>
      <c r="U13" s="43"/>
      <c r="V13" s="43"/>
      <c r="W13" s="43"/>
      <c r="X13" s="43"/>
    </row>
    <row r="14" spans="1:26" x14ac:dyDescent="0.2">
      <c r="A14" s="1">
        <f>'Ex 1 HDD'!A16</f>
        <v>42767</v>
      </c>
      <c r="B14" s="73">
        <f t="shared" si="0"/>
        <v>6978.71</v>
      </c>
      <c r="C14" s="73">
        <v>8494.375</v>
      </c>
      <c r="D14" s="152"/>
      <c r="E14" s="49">
        <f t="shared" si="1"/>
        <v>42767</v>
      </c>
      <c r="F14" s="73">
        <f t="shared" si="5"/>
        <v>37560.749000000003</v>
      </c>
      <c r="G14" s="73">
        <f t="shared" si="6"/>
        <v>38749.680999999997</v>
      </c>
      <c r="H14" s="76"/>
      <c r="I14" s="1">
        <f t="shared" si="2"/>
        <v>42767</v>
      </c>
      <c r="J14" s="102">
        <v>6978710</v>
      </c>
      <c r="K14" s="205">
        <f t="shared" si="3"/>
        <v>6978.71</v>
      </c>
      <c r="L14" s="53">
        <v>19483684.469999999</v>
      </c>
      <c r="M14" s="52">
        <f t="shared" si="4"/>
        <v>19483.68447</v>
      </c>
      <c r="N14" s="8"/>
      <c r="O14" s="43"/>
      <c r="Q14" s="43"/>
      <c r="R14" s="43"/>
      <c r="S14" s="43"/>
      <c r="T14" s="43"/>
      <c r="U14" s="43"/>
      <c r="V14" s="43"/>
      <c r="W14" s="43"/>
      <c r="X14" s="43"/>
    </row>
    <row r="15" spans="1:26" x14ac:dyDescent="0.2">
      <c r="A15" s="1">
        <f>'Ex 1 HDD'!A17</f>
        <v>42795</v>
      </c>
      <c r="B15" s="73">
        <f t="shared" si="0"/>
        <v>0</v>
      </c>
      <c r="C15" s="73">
        <v>6959.3530000000001</v>
      </c>
      <c r="D15" s="152"/>
      <c r="E15" s="49">
        <f t="shared" si="1"/>
        <v>42795</v>
      </c>
      <c r="F15" s="73">
        <f t="shared" si="5"/>
        <v>37560.749000000003</v>
      </c>
      <c r="G15" s="73">
        <f t="shared" si="6"/>
        <v>45709.034</v>
      </c>
      <c r="H15" s="86"/>
      <c r="I15" s="1">
        <f t="shared" si="2"/>
        <v>42795</v>
      </c>
      <c r="J15" s="102">
        <v>0</v>
      </c>
      <c r="K15" s="205">
        <f t="shared" si="3"/>
        <v>0</v>
      </c>
      <c r="L15" s="53">
        <v>0</v>
      </c>
      <c r="M15" s="52">
        <f t="shared" si="4"/>
        <v>0</v>
      </c>
      <c r="N15" s="8"/>
      <c r="O15" s="43"/>
      <c r="Q15" s="43"/>
      <c r="R15" s="43"/>
      <c r="S15" s="43"/>
      <c r="T15" s="43"/>
      <c r="U15" s="43"/>
      <c r="V15" s="43"/>
      <c r="W15" s="43"/>
      <c r="X15" s="43"/>
    </row>
    <row r="16" spans="1:26" x14ac:dyDescent="0.2">
      <c r="A16" s="1">
        <f>'Ex 1 HDD'!A18</f>
        <v>42826</v>
      </c>
      <c r="B16" s="73">
        <f t="shared" si="0"/>
        <v>0</v>
      </c>
      <c r="C16" s="73">
        <v>4824.683</v>
      </c>
      <c r="D16" s="177"/>
      <c r="E16" s="49">
        <f t="shared" si="1"/>
        <v>42826</v>
      </c>
      <c r="F16" s="73">
        <f t="shared" si="5"/>
        <v>37560.749000000003</v>
      </c>
      <c r="G16" s="73">
        <f t="shared" si="6"/>
        <v>50533.716999999997</v>
      </c>
      <c r="H16" s="86"/>
      <c r="I16" s="1">
        <f t="shared" si="2"/>
        <v>42826</v>
      </c>
      <c r="J16" s="102">
        <v>0</v>
      </c>
      <c r="K16" s="205">
        <f t="shared" si="3"/>
        <v>0</v>
      </c>
      <c r="L16" s="53">
        <v>0</v>
      </c>
      <c r="M16" s="52">
        <f t="shared" si="4"/>
        <v>0</v>
      </c>
      <c r="N16" s="8"/>
      <c r="O16" s="43"/>
      <c r="Q16" s="43"/>
      <c r="R16" s="43"/>
      <c r="S16" s="43"/>
      <c r="T16" s="43"/>
      <c r="U16" s="43"/>
      <c r="V16" s="43"/>
      <c r="W16" s="43"/>
      <c r="X16" s="43"/>
    </row>
    <row r="17" spans="1:24" x14ac:dyDescent="0.2">
      <c r="A17" s="1">
        <f>'Ex 1 HDD'!A19</f>
        <v>42856</v>
      </c>
      <c r="B17" s="73">
        <f t="shared" si="0"/>
        <v>0</v>
      </c>
      <c r="C17" s="73">
        <v>3021.3760000000002</v>
      </c>
      <c r="D17" s="177"/>
      <c r="E17" s="49">
        <f t="shared" si="1"/>
        <v>42856</v>
      </c>
      <c r="F17" s="73">
        <f t="shared" si="5"/>
        <v>37560.749000000003</v>
      </c>
      <c r="G17" s="73">
        <f t="shared" si="6"/>
        <v>53555.092999999993</v>
      </c>
      <c r="H17" s="86"/>
      <c r="I17" s="1">
        <f t="shared" si="2"/>
        <v>42856</v>
      </c>
      <c r="J17" s="52">
        <v>0</v>
      </c>
      <c r="K17" s="205">
        <f t="shared" si="3"/>
        <v>0</v>
      </c>
      <c r="L17" s="53">
        <v>0</v>
      </c>
      <c r="M17" s="52">
        <f t="shared" si="4"/>
        <v>0</v>
      </c>
      <c r="N17" s="8"/>
      <c r="O17" s="43"/>
      <c r="Q17" s="43"/>
      <c r="R17" s="43"/>
      <c r="S17" s="43"/>
      <c r="T17" s="43"/>
      <c r="U17" s="43"/>
      <c r="V17" s="43"/>
      <c r="W17" s="43"/>
      <c r="X17" s="43"/>
    </row>
    <row r="18" spans="1:24" x14ac:dyDescent="0.2">
      <c r="C18" s="50"/>
      <c r="M18" s="3"/>
      <c r="N18" s="8"/>
      <c r="O18" s="8"/>
      <c r="P18" s="8"/>
      <c r="Q18" s="8"/>
      <c r="R18" s="8"/>
      <c r="S18" s="8"/>
      <c r="T18" s="8"/>
      <c r="U18" s="8"/>
      <c r="V18" s="8"/>
      <c r="W18" s="8"/>
      <c r="X18" s="8"/>
    </row>
    <row r="19" spans="1:24" x14ac:dyDescent="0.2">
      <c r="B19" s="68">
        <f>SUM(B6:B17)</f>
        <v>37560.749000000003</v>
      </c>
      <c r="C19" s="50">
        <f>SUM(C6:C18)</f>
        <v>53555.092999999993</v>
      </c>
    </row>
    <row r="21" spans="1:24" x14ac:dyDescent="0.2">
      <c r="B21" s="73">
        <f>B14-B15</f>
        <v>6978.71</v>
      </c>
      <c r="K21" s="62"/>
    </row>
    <row r="22" spans="1:24" x14ac:dyDescent="0.2">
      <c r="K22" s="141"/>
    </row>
    <row r="23" spans="1:24" x14ac:dyDescent="0.2">
      <c r="A23" s="8"/>
      <c r="B23" s="8"/>
      <c r="C23" s="8"/>
      <c r="D23" s="8"/>
      <c r="E23" s="8"/>
      <c r="F23" s="134"/>
      <c r="G23" s="134"/>
      <c r="H23" s="8"/>
      <c r="I23" s="8"/>
      <c r="J23" s="142"/>
      <c r="K23" s="143"/>
      <c r="L23" s="144"/>
      <c r="M23" s="8"/>
    </row>
    <row r="24" spans="1:24" x14ac:dyDescent="0.2">
      <c r="A24" s="133"/>
      <c r="B24" s="133"/>
      <c r="C24" s="133"/>
      <c r="D24" s="133"/>
      <c r="E24" s="133"/>
      <c r="F24" s="133"/>
      <c r="G24" s="133"/>
      <c r="H24" s="133"/>
      <c r="I24" s="133"/>
      <c r="J24" s="133"/>
      <c r="K24" s="133"/>
      <c r="L24" s="127"/>
      <c r="M24" s="59"/>
    </row>
    <row r="25" spans="1:24" x14ac:dyDescent="0.2">
      <c r="A25" s="131"/>
      <c r="B25" s="131"/>
      <c r="C25" s="131"/>
      <c r="D25" s="131"/>
      <c r="E25" s="131"/>
      <c r="F25" s="131"/>
      <c r="G25" s="131"/>
      <c r="H25" s="131"/>
      <c r="I25" s="131"/>
      <c r="J25" s="131"/>
      <c r="K25" s="131"/>
      <c r="L25" s="131"/>
      <c r="M25" s="131"/>
      <c r="N25" s="129"/>
      <c r="O25" s="35"/>
    </row>
    <row r="26" spans="1:24" x14ac:dyDescent="0.2">
      <c r="A26" s="131"/>
      <c r="B26" s="131"/>
      <c r="C26" s="131"/>
      <c r="D26" s="131"/>
      <c r="E26" s="131"/>
      <c r="F26" s="131"/>
      <c r="G26" s="131"/>
      <c r="H26" s="131"/>
      <c r="I26" s="131"/>
      <c r="J26" s="131"/>
      <c r="K26" s="131"/>
      <c r="L26" s="131"/>
      <c r="M26" s="131"/>
      <c r="N26" s="129"/>
      <c r="O26" s="35"/>
    </row>
    <row r="27" spans="1:24" x14ac:dyDescent="0.2">
      <c r="A27" s="131"/>
      <c r="B27" s="131"/>
      <c r="C27" s="131"/>
      <c r="D27" s="131"/>
      <c r="E27" s="131"/>
      <c r="F27" s="131"/>
      <c r="G27" s="131"/>
      <c r="H27" s="131"/>
      <c r="I27" s="131"/>
      <c r="J27" s="131"/>
      <c r="L27" s="131"/>
      <c r="M27" s="131"/>
      <c r="N27" s="129"/>
      <c r="O27" s="35"/>
    </row>
    <row r="28" spans="1:24" x14ac:dyDescent="0.2">
      <c r="A28" s="131"/>
      <c r="B28" s="131"/>
      <c r="C28" s="131"/>
      <c r="D28" s="131"/>
      <c r="E28" s="131"/>
      <c r="F28" s="131"/>
      <c r="G28" s="131"/>
      <c r="H28" s="131"/>
      <c r="I28" s="131"/>
      <c r="J28" s="131"/>
      <c r="L28" s="131"/>
      <c r="M28" s="131"/>
      <c r="N28" s="132"/>
      <c r="O28" s="35"/>
    </row>
    <row r="29" spans="1:24" x14ac:dyDescent="0.2">
      <c r="A29" s="131"/>
      <c r="B29" s="131"/>
      <c r="C29" s="131"/>
      <c r="D29" s="131"/>
      <c r="E29" s="131"/>
      <c r="F29" s="131"/>
      <c r="G29" s="131"/>
      <c r="H29" s="131"/>
      <c r="I29" s="131"/>
      <c r="J29" s="131"/>
      <c r="L29" s="131"/>
      <c r="M29" s="131"/>
      <c r="N29" s="129"/>
      <c r="O29" s="35"/>
    </row>
    <row r="30" spans="1:24" x14ac:dyDescent="0.2">
      <c r="A30" s="131"/>
      <c r="B30" s="131"/>
      <c r="C30" s="131"/>
      <c r="D30" s="131"/>
      <c r="E30" s="131"/>
      <c r="F30" s="131"/>
      <c r="G30" s="131"/>
      <c r="H30" s="68"/>
      <c r="I30" s="68"/>
      <c r="J30" s="68"/>
      <c r="L30" s="68"/>
      <c r="M30" s="68"/>
      <c r="N30" s="68"/>
      <c r="O30" s="68"/>
      <c r="P30" s="68"/>
      <c r="Q30" s="68"/>
      <c r="R30" s="68"/>
      <c r="S30" s="68"/>
      <c r="T30" s="68"/>
    </row>
    <row r="31" spans="1:24" x14ac:dyDescent="0.2">
      <c r="A31" s="131"/>
      <c r="B31" s="131"/>
      <c r="C31" s="131"/>
      <c r="D31" s="131"/>
      <c r="E31" s="131"/>
      <c r="F31" s="131"/>
      <c r="G31" s="131"/>
      <c r="H31" s="131"/>
      <c r="I31" s="131"/>
      <c r="J31" s="131"/>
      <c r="L31" s="131"/>
      <c r="M31" s="131"/>
      <c r="N31" s="129"/>
      <c r="O31" s="35"/>
    </row>
    <row r="32" spans="1:24" x14ac:dyDescent="0.2">
      <c r="A32" s="131"/>
      <c r="B32" s="131"/>
      <c r="C32" s="131"/>
      <c r="D32" s="131"/>
      <c r="E32" s="131"/>
      <c r="F32" s="131"/>
      <c r="G32" s="131"/>
      <c r="H32" s="68"/>
      <c r="I32" s="68"/>
      <c r="J32" s="68"/>
      <c r="L32" s="68"/>
      <c r="M32" s="68"/>
      <c r="N32" s="68"/>
      <c r="O32" s="68"/>
      <c r="P32" s="68"/>
      <c r="Q32" s="68"/>
      <c r="R32" s="68"/>
      <c r="S32" s="68"/>
      <c r="T32" s="68"/>
    </row>
    <row r="33" spans="1:15" x14ac:dyDescent="0.2">
      <c r="A33" s="131"/>
      <c r="B33" s="131"/>
      <c r="C33" s="131"/>
      <c r="D33" s="131"/>
      <c r="E33" s="131"/>
      <c r="F33" s="131"/>
      <c r="G33" s="131"/>
      <c r="H33" s="131"/>
      <c r="I33" s="131"/>
      <c r="J33" s="131"/>
      <c r="L33" s="131"/>
      <c r="M33" s="131"/>
      <c r="N33" s="129"/>
      <c r="O33" s="35"/>
    </row>
    <row r="34" spans="1:15" x14ac:dyDescent="0.2">
      <c r="A34" s="131"/>
      <c r="B34" s="131"/>
      <c r="C34" s="131"/>
      <c r="D34" s="131"/>
      <c r="E34" s="131"/>
      <c r="F34" s="131"/>
      <c r="G34" s="131"/>
      <c r="H34" s="131"/>
      <c r="I34" s="131"/>
      <c r="J34" s="131"/>
      <c r="L34" s="131"/>
      <c r="M34" s="131"/>
      <c r="N34" s="129"/>
      <c r="O34" s="35"/>
    </row>
    <row r="35" spans="1:15" x14ac:dyDescent="0.2">
      <c r="A35" s="131"/>
      <c r="B35" s="131"/>
      <c r="C35" s="131"/>
      <c r="D35" s="131"/>
      <c r="E35" s="131"/>
      <c r="F35" s="131"/>
      <c r="G35" s="131"/>
      <c r="H35" s="131"/>
      <c r="I35" s="131"/>
      <c r="J35" s="131"/>
      <c r="L35" s="131"/>
      <c r="M35" s="131"/>
      <c r="N35" s="129"/>
      <c r="O35" s="35"/>
    </row>
    <row r="36" spans="1:15" x14ac:dyDescent="0.2">
      <c r="A36" s="131"/>
      <c r="B36" s="131"/>
      <c r="C36" s="131"/>
      <c r="D36" s="131"/>
      <c r="E36" s="131"/>
      <c r="F36" s="131"/>
      <c r="G36" s="131"/>
      <c r="H36" s="131"/>
      <c r="I36" s="131"/>
      <c r="J36" s="131"/>
      <c r="L36" s="131"/>
      <c r="M36" s="131"/>
      <c r="N36" s="129"/>
      <c r="O36" s="35"/>
    </row>
    <row r="37" spans="1:15" x14ac:dyDescent="0.2">
      <c r="A37" s="131"/>
      <c r="B37" s="131"/>
      <c r="C37" s="131"/>
      <c r="D37" s="131"/>
      <c r="E37" s="131"/>
      <c r="F37" s="131"/>
      <c r="G37" s="131"/>
      <c r="H37" s="131"/>
      <c r="I37" s="131"/>
      <c r="J37" s="131"/>
      <c r="L37" s="131"/>
      <c r="M37" s="131"/>
      <c r="N37" s="129"/>
      <c r="O37" s="35"/>
    </row>
    <row r="38" spans="1:15" x14ac:dyDescent="0.2">
      <c r="A38" s="131"/>
      <c r="B38" s="131"/>
      <c r="C38" s="131"/>
      <c r="D38" s="131"/>
      <c r="E38" s="131"/>
      <c r="F38" s="131"/>
      <c r="G38" s="131"/>
      <c r="H38" s="131"/>
      <c r="I38" s="131"/>
      <c r="J38" s="131"/>
      <c r="L38" s="131"/>
      <c r="M38" s="131"/>
      <c r="N38" s="129"/>
      <c r="O38" s="35"/>
    </row>
    <row r="39" spans="1:15" x14ac:dyDescent="0.2">
      <c r="A39" s="130"/>
      <c r="B39" s="84"/>
      <c r="C39" s="84"/>
      <c r="D39" s="128"/>
      <c r="E39" s="128"/>
      <c r="F39" s="128"/>
      <c r="G39" s="84"/>
      <c r="H39" s="84"/>
      <c r="I39" s="84"/>
      <c r="J39" s="128"/>
      <c r="K39" s="130"/>
      <c r="L39" s="84"/>
      <c r="M39" s="84"/>
      <c r="N39" s="129"/>
      <c r="O39" s="35"/>
    </row>
    <row r="40" spans="1:15" x14ac:dyDescent="0.2">
      <c r="A40" s="62"/>
      <c r="B40" s="62"/>
      <c r="C40" s="62"/>
      <c r="D40" s="62"/>
      <c r="E40" s="62"/>
      <c r="F40" s="62"/>
      <c r="G40" s="62"/>
      <c r="H40" s="62"/>
      <c r="I40" s="62"/>
      <c r="J40" s="62"/>
      <c r="K40" s="62"/>
      <c r="L40" s="62"/>
      <c r="M40" s="62"/>
      <c r="N40" s="62"/>
      <c r="O40" s="8"/>
    </row>
    <row r="41" spans="1:15" x14ac:dyDescent="0.2">
      <c r="A41" s="8"/>
      <c r="B41" s="8"/>
      <c r="C41" s="8"/>
      <c r="D41" s="8"/>
      <c r="E41" s="8"/>
      <c r="F41" s="8"/>
      <c r="G41" s="8"/>
      <c r="H41" s="8"/>
      <c r="I41" s="8"/>
      <c r="J41" s="8"/>
      <c r="K41" s="8"/>
      <c r="L41" s="8"/>
      <c r="M41" s="8"/>
      <c r="N41" s="8"/>
      <c r="O41" s="8"/>
    </row>
    <row r="42" spans="1:15" x14ac:dyDescent="0.2">
      <c r="A42" s="8"/>
      <c r="B42" s="8"/>
      <c r="C42" s="8"/>
      <c r="D42" s="8"/>
      <c r="E42" s="8"/>
      <c r="F42" s="8"/>
      <c r="G42" s="8"/>
      <c r="H42" s="8"/>
      <c r="I42" s="8"/>
      <c r="J42" s="8"/>
      <c r="K42" s="8"/>
      <c r="L42" s="8"/>
      <c r="M42" s="8"/>
      <c r="N42" s="8"/>
      <c r="O42" s="8"/>
    </row>
    <row r="43" spans="1:15" x14ac:dyDescent="0.2">
      <c r="A43" s="8"/>
      <c r="B43" s="8"/>
      <c r="C43" s="35"/>
      <c r="D43" s="35"/>
      <c r="E43" s="35"/>
      <c r="F43" s="35"/>
      <c r="G43" s="35"/>
      <c r="H43" s="8"/>
      <c r="I43" s="8"/>
      <c r="J43" s="8"/>
      <c r="K43" s="8"/>
      <c r="L43" s="8"/>
      <c r="M43" s="8"/>
      <c r="N43" s="8"/>
      <c r="O43" s="8"/>
    </row>
    <row r="44" spans="1:15" x14ac:dyDescent="0.2">
      <c r="A44" s="8"/>
      <c r="B44" s="8"/>
      <c r="C44" s="35"/>
      <c r="D44" s="35"/>
      <c r="E44" s="35"/>
      <c r="F44" s="35"/>
      <c r="G44" s="35"/>
      <c r="H44" s="8"/>
      <c r="I44" s="8"/>
      <c r="J44" s="8"/>
      <c r="K44" s="8"/>
      <c r="L44" s="8"/>
      <c r="M44" s="8"/>
      <c r="N44" s="8"/>
      <c r="O44" s="8"/>
    </row>
    <row r="45" spans="1:15" x14ac:dyDescent="0.2">
      <c r="A45" s="8"/>
      <c r="B45" s="8"/>
      <c r="C45" s="35"/>
      <c r="D45" s="35"/>
      <c r="E45" s="35"/>
      <c r="F45" s="35"/>
      <c r="G45" s="35"/>
      <c r="H45" s="8"/>
      <c r="I45" s="8"/>
      <c r="J45" s="8"/>
      <c r="K45" s="8"/>
      <c r="L45" s="8"/>
      <c r="M45" s="8"/>
      <c r="N45" s="8"/>
      <c r="O45" s="8"/>
    </row>
    <row r="46" spans="1:15" x14ac:dyDescent="0.2">
      <c r="A46" s="8"/>
      <c r="B46" s="8"/>
      <c r="C46" s="35"/>
      <c r="D46" s="35"/>
      <c r="E46" s="35"/>
      <c r="F46" s="35"/>
      <c r="G46" s="35"/>
      <c r="H46" s="8"/>
      <c r="I46" s="8"/>
      <c r="J46" s="8"/>
      <c r="K46" s="8"/>
      <c r="L46" s="8"/>
      <c r="M46" s="8"/>
      <c r="N46" s="8"/>
      <c r="O46" s="8"/>
    </row>
    <row r="47" spans="1:15" x14ac:dyDescent="0.2">
      <c r="A47" s="8"/>
      <c r="B47" s="8"/>
      <c r="C47" s="35"/>
      <c r="D47" s="35"/>
      <c r="E47" s="35"/>
      <c r="F47" s="35"/>
      <c r="G47" s="35"/>
      <c r="H47" s="8"/>
      <c r="I47" s="8"/>
      <c r="J47" s="8"/>
      <c r="K47" s="8"/>
      <c r="L47" s="8"/>
      <c r="M47" s="8"/>
      <c r="N47" s="8"/>
      <c r="O47" s="8"/>
    </row>
    <row r="48" spans="1:15" x14ac:dyDescent="0.2">
      <c r="A48" s="8"/>
      <c r="B48" s="8"/>
      <c r="C48" s="35"/>
      <c r="D48" s="35"/>
      <c r="E48" s="35"/>
      <c r="F48" s="35"/>
      <c r="G48" s="35"/>
      <c r="H48" s="8"/>
      <c r="I48" s="8"/>
      <c r="J48" s="8"/>
      <c r="K48" s="8"/>
      <c r="L48" s="8"/>
      <c r="M48" s="8"/>
      <c r="N48" s="8"/>
      <c r="O48" s="8"/>
    </row>
    <row r="49" spans="1:15" x14ac:dyDescent="0.2">
      <c r="A49" s="8"/>
      <c r="B49" s="8"/>
      <c r="C49" s="35"/>
      <c r="D49" s="35"/>
      <c r="E49" s="35"/>
      <c r="F49" s="35"/>
      <c r="G49" s="35"/>
      <c r="H49" s="8"/>
      <c r="I49" s="8"/>
      <c r="J49" s="8"/>
      <c r="K49" s="8"/>
      <c r="L49" s="8"/>
      <c r="M49" s="8"/>
      <c r="N49" s="8"/>
      <c r="O49" s="8"/>
    </row>
    <row r="50" spans="1:15" x14ac:dyDescent="0.2">
      <c r="A50" s="8"/>
      <c r="B50" s="8"/>
      <c r="C50" s="35"/>
      <c r="D50" s="35"/>
      <c r="E50" s="35"/>
      <c r="F50" s="35"/>
      <c r="G50" s="35"/>
      <c r="H50" s="8"/>
      <c r="I50" s="8"/>
      <c r="J50" s="8"/>
      <c r="K50" s="8"/>
      <c r="L50" s="8"/>
      <c r="M50" s="8"/>
      <c r="N50" s="8"/>
      <c r="O50" s="8"/>
    </row>
    <row r="51" spans="1:15" x14ac:dyDescent="0.2">
      <c r="A51" s="8"/>
      <c r="B51" s="8"/>
      <c r="C51" s="35"/>
      <c r="D51" s="35"/>
      <c r="E51" s="35"/>
      <c r="F51" s="35"/>
      <c r="G51" s="35"/>
      <c r="H51" s="8"/>
      <c r="I51" s="8"/>
      <c r="J51" s="8"/>
      <c r="K51" s="8"/>
      <c r="L51" s="8"/>
      <c r="M51" s="8"/>
      <c r="N51" s="8"/>
      <c r="O51" s="8"/>
    </row>
    <row r="52" spans="1:15" x14ac:dyDescent="0.2">
      <c r="A52" s="8"/>
      <c r="B52" s="8"/>
      <c r="C52" s="35"/>
      <c r="D52" s="35"/>
      <c r="E52" s="35"/>
      <c r="F52" s="35"/>
      <c r="G52" s="35"/>
      <c r="H52" s="8"/>
      <c r="I52" s="8"/>
      <c r="J52" s="8"/>
      <c r="K52" s="8"/>
      <c r="L52" s="8"/>
      <c r="M52" s="8"/>
      <c r="N52" s="8"/>
      <c r="O52" s="8"/>
    </row>
    <row r="53" spans="1:15" x14ac:dyDescent="0.2">
      <c r="A53" s="8"/>
      <c r="B53" s="8"/>
      <c r="C53" s="35"/>
      <c r="D53" s="35"/>
      <c r="E53" s="35"/>
      <c r="F53" s="35"/>
      <c r="G53" s="35"/>
      <c r="H53" s="8"/>
      <c r="I53" s="8"/>
      <c r="J53" s="8"/>
      <c r="K53" s="8"/>
      <c r="L53" s="8"/>
      <c r="M53" s="8"/>
      <c r="N53" s="8"/>
      <c r="O53" s="8"/>
    </row>
    <row r="54" spans="1:15" x14ac:dyDescent="0.2">
      <c r="A54" s="8"/>
      <c r="B54" s="8"/>
      <c r="C54" s="35"/>
      <c r="D54" s="35"/>
      <c r="E54" s="35"/>
      <c r="F54" s="35"/>
      <c r="G54" s="35"/>
      <c r="H54" s="8"/>
      <c r="I54" s="8"/>
      <c r="J54" s="8"/>
      <c r="K54" s="8"/>
      <c r="L54" s="8"/>
      <c r="M54" s="8"/>
      <c r="N54" s="8"/>
      <c r="O54" s="8"/>
    </row>
    <row r="55" spans="1:15" x14ac:dyDescent="0.2">
      <c r="A55" s="8"/>
      <c r="B55" s="8"/>
      <c r="C55" s="35"/>
      <c r="D55" s="35"/>
      <c r="E55" s="35"/>
      <c r="F55" s="35"/>
      <c r="G55" s="8"/>
      <c r="H55" s="8"/>
      <c r="I55" s="8"/>
      <c r="J55" s="8"/>
      <c r="K55" s="8"/>
      <c r="L55" s="8"/>
      <c r="M55" s="8"/>
      <c r="N55" s="8"/>
      <c r="O55" s="8"/>
    </row>
    <row r="56" spans="1:15" x14ac:dyDescent="0.2">
      <c r="A56" s="8"/>
      <c r="B56" s="8"/>
      <c r="C56" s="8"/>
      <c r="D56" s="8"/>
      <c r="E56" s="8"/>
      <c r="F56" s="8"/>
      <c r="G56" s="8"/>
      <c r="H56" s="8"/>
      <c r="I56" s="8"/>
      <c r="J56" s="8"/>
      <c r="K56" s="8"/>
      <c r="L56" s="8"/>
      <c r="M56" s="8"/>
      <c r="N56" s="8"/>
      <c r="O56" s="8"/>
    </row>
    <row r="57" spans="1:15" x14ac:dyDescent="0.2">
      <c r="A57" s="8"/>
      <c r="B57" s="8"/>
      <c r="C57" s="8"/>
      <c r="D57" s="8"/>
      <c r="E57" s="8"/>
      <c r="F57" s="8"/>
      <c r="G57" s="8"/>
      <c r="H57" s="8"/>
      <c r="I57" s="8"/>
      <c r="J57" s="8"/>
      <c r="K57" s="8"/>
      <c r="L57" s="8"/>
      <c r="M57" s="8"/>
      <c r="N57" s="8"/>
      <c r="O57" s="8"/>
    </row>
  </sheetData>
  <mergeCells count="1">
    <mergeCell ref="G4:H4"/>
  </mergeCells>
  <phoneticPr fontId="23" type="noConversion"/>
  <pageMargins left="0.75" right="0.75" top="0.9" bottom="1" header="0.5" footer="0.5"/>
  <pageSetup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O26:Q32"/>
  <sheetViews>
    <sheetView topLeftCell="A13" workbookViewId="0">
      <selection activeCell="O31" sqref="O31"/>
    </sheetView>
  </sheetViews>
  <sheetFormatPr defaultRowHeight="12.75" x14ac:dyDescent="0.2"/>
  <cols>
    <col min="1" max="13" width="8.28515625" customWidth="1"/>
    <col min="14" max="14" width="7.7109375" customWidth="1"/>
    <col min="15" max="17" width="2.85546875" customWidth="1"/>
  </cols>
  <sheetData>
    <row r="26" spans="15:17" ht="15.75" customHeight="1" x14ac:dyDescent="0.2"/>
    <row r="30" spans="15:17" ht="13.5" customHeight="1" x14ac:dyDescent="0.2"/>
    <row r="31" spans="15:17" ht="108.75" customHeight="1" x14ac:dyDescent="0.2">
      <c r="O31" s="110" t="str">
        <f>'Exhibit 1.1'!O31</f>
        <v>DEU Variance Exhibit</v>
      </c>
      <c r="P31" s="110" t="str">
        <f>'Exhibit 1.1'!P31</f>
        <v>Docket No. 16-057-08</v>
      </c>
      <c r="Q31" s="110" t="str">
        <f>'Exhibit 1.1'!Q31</f>
        <v>Dominion Energy Utah</v>
      </c>
    </row>
    <row r="32" spans="15:17" ht="24" customHeight="1" x14ac:dyDescent="0.2">
      <c r="O32" s="112">
        <v>4.0999999999999996</v>
      </c>
      <c r="P32" s="109"/>
      <c r="Q32" s="109"/>
    </row>
  </sheetData>
  <printOptions verticalCentered="1"/>
  <pageMargins left="0.7" right="0.7" top="0.75" bottom="0.75" header="0.3" footer="0.3"/>
  <pageSetup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O29:Q31"/>
  <sheetViews>
    <sheetView topLeftCell="A4" workbookViewId="0">
      <selection activeCell="O31" sqref="O31"/>
    </sheetView>
  </sheetViews>
  <sheetFormatPr defaultRowHeight="12.75" x14ac:dyDescent="0.2"/>
  <cols>
    <col min="1" max="13" width="8.28515625" customWidth="1"/>
    <col min="14" max="14" width="6.7109375" customWidth="1"/>
    <col min="15" max="17" width="2.85546875" customWidth="1"/>
  </cols>
  <sheetData>
    <row r="29" spans="15:17" ht="6.75" customHeight="1" x14ac:dyDescent="0.2"/>
    <row r="30" spans="15:17" ht="113.25" customHeight="1" x14ac:dyDescent="0.2">
      <c r="O30" s="113" t="str">
        <f>'Exhibit 1.1'!O31</f>
        <v>DEU Variance Exhibit</v>
      </c>
      <c r="P30" s="113" t="str">
        <f>'Exhibit 1.1'!P31</f>
        <v>Docket No. 16-057-08</v>
      </c>
      <c r="Q30" s="113" t="str">
        <f>'Exhibit 1.1'!Q31</f>
        <v>Dominion Energy Utah</v>
      </c>
    </row>
    <row r="31" spans="15:17" ht="25.5" customHeight="1" x14ac:dyDescent="0.2">
      <c r="O31" s="111">
        <v>4.2</v>
      </c>
      <c r="P31" s="112"/>
      <c r="Q31" s="112"/>
    </row>
  </sheetData>
  <printOptions horizontalCentered="1" verticalCentered="1"/>
  <pageMargins left="0.7" right="0.7" top="0.75" bottom="0.75" header="0.3" footer="0.3"/>
  <pageSetup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O30:Q32"/>
  <sheetViews>
    <sheetView workbookViewId="0">
      <selection activeCell="O31" sqref="O31"/>
    </sheetView>
  </sheetViews>
  <sheetFormatPr defaultRowHeight="12.75" x14ac:dyDescent="0.2"/>
  <cols>
    <col min="1" max="14" width="8.28515625" customWidth="1"/>
    <col min="15" max="17" width="2.85546875" customWidth="1"/>
  </cols>
  <sheetData>
    <row r="30" spans="15:17" ht="9" customHeight="1" x14ac:dyDescent="0.2"/>
    <row r="31" spans="15:17" ht="108.75" customHeight="1" x14ac:dyDescent="0.2">
      <c r="O31" s="113" t="str">
        <f>'Exhibit 1.1'!O31</f>
        <v>DEU Variance Exhibit</v>
      </c>
      <c r="P31" s="113" t="str">
        <f>'Exhibit 1.1'!P31</f>
        <v>Docket No. 16-057-08</v>
      </c>
      <c r="Q31" s="113" t="str">
        <f>'Exhibit 1.1'!Q31</f>
        <v>Dominion Energy Utah</v>
      </c>
    </row>
    <row r="32" spans="15:17" ht="24" customHeight="1" x14ac:dyDescent="0.2">
      <c r="O32" s="112">
        <v>4.3</v>
      </c>
      <c r="P32" s="112"/>
      <c r="Q32" s="112"/>
    </row>
  </sheetData>
  <printOptions horizontalCentered="1" verticalCentered="1"/>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O1:Q32"/>
  <sheetViews>
    <sheetView tabSelected="1" topLeftCell="A11" workbookViewId="0">
      <selection activeCell="O31" sqref="O31"/>
    </sheetView>
  </sheetViews>
  <sheetFormatPr defaultRowHeight="12.75" x14ac:dyDescent="0.2"/>
  <cols>
    <col min="1" max="14" width="8.28515625" customWidth="1"/>
    <col min="15" max="17" width="2.5703125" customWidth="1"/>
  </cols>
  <sheetData>
    <row r="1" ht="15.75" customHeight="1" x14ac:dyDescent="0.2"/>
    <row r="27" spans="15:17" ht="4.5" customHeight="1" x14ac:dyDescent="0.2"/>
    <row r="31" spans="15:17" ht="111" customHeight="1" x14ac:dyDescent="0.2">
      <c r="O31" s="137" t="s">
        <v>297</v>
      </c>
      <c r="P31" s="137" t="str">
        <f>'Ex 1 HDD'!I1</f>
        <v>Docket No. 16-057-08</v>
      </c>
      <c r="Q31" s="137" t="s">
        <v>296</v>
      </c>
    </row>
    <row r="32" spans="15:17" ht="22.5" customHeight="1" x14ac:dyDescent="0.2">
      <c r="O32" s="112">
        <v>1.1000000000000001</v>
      </c>
    </row>
  </sheetData>
  <printOptions horizontalCentered="1" verticalCentered="1"/>
  <pageMargins left="0.7" right="0.7" top="0.75" bottom="0.75" header="0.3" footer="0.3"/>
  <pageSetup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S42"/>
  <sheetViews>
    <sheetView zoomScaleNormal="100" workbookViewId="0">
      <selection activeCell="H10" sqref="H10"/>
    </sheetView>
  </sheetViews>
  <sheetFormatPr defaultRowHeight="12.75" x14ac:dyDescent="0.2"/>
  <cols>
    <col min="1" max="2" width="10.140625" style="94" customWidth="1"/>
    <col min="3" max="3" width="11.28515625" style="94" customWidth="1"/>
    <col min="4" max="8" width="10.140625" style="94" customWidth="1"/>
    <col min="9" max="16384" width="9.140625" style="94"/>
  </cols>
  <sheetData>
    <row r="1" spans="1:19" x14ac:dyDescent="0.2">
      <c r="A1" s="431" t="s">
        <v>13</v>
      </c>
      <c r="B1" s="431"/>
      <c r="C1" s="431"/>
      <c r="D1" s="431"/>
      <c r="E1" s="431"/>
      <c r="F1" s="431"/>
      <c r="G1" s="431"/>
    </row>
    <row r="2" spans="1:19" x14ac:dyDescent="0.2">
      <c r="A2" s="431" t="s">
        <v>53</v>
      </c>
      <c r="B2" s="431"/>
      <c r="C2" s="431"/>
      <c r="D2" s="431"/>
      <c r="E2" s="431"/>
      <c r="F2" s="431"/>
      <c r="G2" s="431"/>
      <c r="H2" s="94" t="s">
        <v>74</v>
      </c>
    </row>
    <row r="3" spans="1:19" s="98" customFormat="1" ht="15" customHeight="1" x14ac:dyDescent="0.2">
      <c r="A3" s="443" t="s">
        <v>29</v>
      </c>
      <c r="B3" s="443"/>
      <c r="C3" s="443"/>
      <c r="D3" s="443"/>
      <c r="E3" s="443"/>
      <c r="F3" s="443"/>
      <c r="G3" s="443"/>
      <c r="H3" s="443"/>
      <c r="I3" s="45"/>
      <c r="J3" s="45"/>
    </row>
    <row r="4" spans="1:19" x14ac:dyDescent="0.2">
      <c r="A4" s="93"/>
      <c r="B4" s="93"/>
      <c r="C4" s="93"/>
      <c r="D4" s="172"/>
      <c r="E4" s="93"/>
      <c r="F4" s="93"/>
      <c r="G4" s="93"/>
      <c r="H4" s="93"/>
      <c r="I4" s="93"/>
      <c r="J4" s="93"/>
    </row>
    <row r="5" spans="1:19" x14ac:dyDescent="0.2">
      <c r="E5" s="442" t="s">
        <v>16</v>
      </c>
      <c r="F5" s="442"/>
      <c r="G5" s="195"/>
      <c r="I5" s="79"/>
      <c r="J5" s="79"/>
      <c r="K5" s="79"/>
      <c r="L5" s="79"/>
      <c r="M5" s="79"/>
      <c r="N5" s="79"/>
      <c r="O5" s="79"/>
      <c r="P5" s="79"/>
      <c r="Q5" s="79"/>
      <c r="R5" s="79"/>
      <c r="S5" s="79"/>
    </row>
    <row r="6" spans="1:19" x14ac:dyDescent="0.2">
      <c r="A6" s="2" t="s">
        <v>0</v>
      </c>
      <c r="B6" s="2" t="s">
        <v>1</v>
      </c>
      <c r="C6" s="2" t="s">
        <v>258</v>
      </c>
      <c r="E6" s="2" t="s">
        <v>1</v>
      </c>
      <c r="F6" s="2" t="s">
        <v>258</v>
      </c>
      <c r="G6" s="79"/>
      <c r="H6" s="97"/>
      <c r="I6" s="97"/>
      <c r="J6" s="97"/>
      <c r="K6" s="97"/>
      <c r="L6" s="97"/>
      <c r="M6" s="97"/>
      <c r="N6" s="97"/>
      <c r="O6" s="97"/>
      <c r="P6" s="97"/>
      <c r="Q6" s="79"/>
    </row>
    <row r="7" spans="1:19" x14ac:dyDescent="0.2">
      <c r="A7" s="96">
        <f>'Ex 1 HDD'!A8</f>
        <v>42522</v>
      </c>
      <c r="B7" s="99">
        <f>'Ex 4 Purchase Gas'!M6</f>
        <v>0.92527999999999999</v>
      </c>
      <c r="C7" s="227">
        <v>1633.98</v>
      </c>
      <c r="D7"/>
      <c r="E7" s="95">
        <f>B7</f>
        <v>0.92527999999999999</v>
      </c>
      <c r="F7" s="95">
        <f>C7</f>
        <v>1633.98</v>
      </c>
      <c r="G7" s="79"/>
      <c r="I7" s="85"/>
      <c r="J7" s="85"/>
      <c r="K7" s="85"/>
      <c r="L7" s="85"/>
      <c r="M7" s="85"/>
      <c r="N7" s="85"/>
      <c r="O7" s="85"/>
      <c r="P7" s="85"/>
      <c r="Q7" s="79"/>
    </row>
    <row r="8" spans="1:19" x14ac:dyDescent="0.2">
      <c r="A8" s="96">
        <f>'Ex 1 HDD'!A9</f>
        <v>42552</v>
      </c>
      <c r="B8" s="99">
        <f>'Ex 4 Purchase Gas'!M7</f>
        <v>2.81582</v>
      </c>
      <c r="C8" s="227">
        <v>343.685</v>
      </c>
      <c r="D8"/>
      <c r="E8" s="95">
        <f t="shared" ref="E8:E18" si="0">E7+B8</f>
        <v>3.7410999999999999</v>
      </c>
      <c r="F8" s="95">
        <f>C8+F7</f>
        <v>1977.665</v>
      </c>
      <c r="G8" s="79"/>
      <c r="I8" s="85"/>
      <c r="J8" s="85"/>
      <c r="K8" s="85"/>
      <c r="L8" s="85"/>
      <c r="M8" s="85"/>
      <c r="N8" s="85"/>
      <c r="O8" s="85"/>
      <c r="P8" s="85"/>
      <c r="Q8" s="79"/>
    </row>
    <row r="9" spans="1:19" x14ac:dyDescent="0.2">
      <c r="A9" s="96">
        <f>'Ex 1 HDD'!A10</f>
        <v>42583</v>
      </c>
      <c r="B9" s="99">
        <f>'Ex 4 Purchase Gas'!M8</f>
        <v>0.25968000000000002</v>
      </c>
      <c r="C9" s="227">
        <v>260.15899999999999</v>
      </c>
      <c r="D9"/>
      <c r="E9" s="95">
        <f t="shared" si="0"/>
        <v>4.0007799999999998</v>
      </c>
      <c r="F9" s="95">
        <f t="shared" ref="F9:F18" si="1">C9+F8</f>
        <v>2237.8240000000001</v>
      </c>
      <c r="G9" s="79"/>
      <c r="I9" s="85"/>
      <c r="J9" s="85"/>
      <c r="K9" s="85"/>
      <c r="L9" s="85"/>
      <c r="M9" s="85"/>
      <c r="N9" s="85"/>
      <c r="O9" s="85"/>
      <c r="P9" s="85"/>
      <c r="Q9" s="79"/>
    </row>
    <row r="10" spans="1:19" x14ac:dyDescent="0.2">
      <c r="A10" s="96">
        <f>'Ex 1 HDD'!A11</f>
        <v>42614</v>
      </c>
      <c r="B10" s="99">
        <f>'Ex 4 Purchase Gas'!M9</f>
        <v>2026.55</v>
      </c>
      <c r="C10" s="227">
        <v>1095.414</v>
      </c>
      <c r="D10"/>
      <c r="E10" s="95">
        <f t="shared" si="0"/>
        <v>2030.55078</v>
      </c>
      <c r="F10" s="95">
        <f t="shared" si="1"/>
        <v>3333.2380000000003</v>
      </c>
      <c r="G10" s="79"/>
      <c r="I10" s="85"/>
      <c r="J10" s="85"/>
      <c r="K10" s="85"/>
      <c r="L10" s="85"/>
      <c r="M10" s="85"/>
      <c r="N10" s="85"/>
      <c r="O10" s="85"/>
      <c r="P10" s="85"/>
      <c r="Q10" s="79"/>
    </row>
    <row r="11" spans="1:19" x14ac:dyDescent="0.2">
      <c r="A11" s="96">
        <f>'Ex 1 HDD'!A12</f>
        <v>42644</v>
      </c>
      <c r="B11" s="99">
        <f>'Ex 4 Purchase Gas'!M10</f>
        <v>2032.875</v>
      </c>
      <c r="C11" s="227">
        <v>8222.07</v>
      </c>
      <c r="D11"/>
      <c r="E11" s="95">
        <f t="shared" si="0"/>
        <v>4063.42578</v>
      </c>
      <c r="F11" s="95">
        <f t="shared" si="1"/>
        <v>11555.308000000001</v>
      </c>
      <c r="G11" s="79"/>
      <c r="I11" s="85"/>
      <c r="J11" s="85"/>
      <c r="K11" s="85"/>
      <c r="L11" s="85"/>
      <c r="M11" s="85"/>
      <c r="N11" s="85"/>
      <c r="O11" s="85"/>
      <c r="P11" s="85"/>
      <c r="Q11" s="79"/>
    </row>
    <row r="12" spans="1:19" x14ac:dyDescent="0.2">
      <c r="A12" s="96">
        <f>'Ex 1 HDD'!A13</f>
        <v>42675</v>
      </c>
      <c r="B12" s="99">
        <f>'Ex 4 Purchase Gas'!M11</f>
        <v>13257.4895</v>
      </c>
      <c r="C12" s="227">
        <v>17732.29</v>
      </c>
      <c r="D12"/>
      <c r="E12" s="95">
        <f t="shared" si="0"/>
        <v>17320.915280000001</v>
      </c>
      <c r="F12" s="95">
        <f t="shared" si="1"/>
        <v>29287.598000000002</v>
      </c>
      <c r="G12" s="79"/>
      <c r="I12" s="85"/>
      <c r="J12" s="85"/>
      <c r="K12" s="85"/>
      <c r="L12" s="85"/>
      <c r="M12" s="85"/>
      <c r="N12" s="85"/>
      <c r="O12" s="85"/>
      <c r="P12" s="85"/>
      <c r="Q12" s="79"/>
    </row>
    <row r="13" spans="1:19" x14ac:dyDescent="0.2">
      <c r="A13" s="96">
        <f>'Ex 1 HDD'!A14</f>
        <v>42705</v>
      </c>
      <c r="B13" s="99">
        <f>'Ex 4 Purchase Gas'!M12</f>
        <v>35640.103750000002</v>
      </c>
      <c r="C13" s="227">
        <v>21219.870000000003</v>
      </c>
      <c r="D13"/>
      <c r="E13" s="95">
        <f t="shared" si="0"/>
        <v>52961.019030000003</v>
      </c>
      <c r="F13" s="95">
        <f t="shared" si="1"/>
        <v>50507.468000000008</v>
      </c>
      <c r="G13" s="79"/>
      <c r="I13" s="85"/>
      <c r="J13" s="85"/>
      <c r="K13" s="85"/>
      <c r="L13" s="85"/>
      <c r="M13" s="85"/>
      <c r="N13" s="85"/>
      <c r="O13" s="85"/>
      <c r="P13" s="85"/>
      <c r="Q13" s="79"/>
    </row>
    <row r="14" spans="1:19" x14ac:dyDescent="0.2">
      <c r="A14" s="96">
        <f>'Ex 1 HDD'!A15</f>
        <v>42736</v>
      </c>
      <c r="B14" s="99">
        <f>'Ex 4 Purchase Gas'!M13</f>
        <v>45914.59332</v>
      </c>
      <c r="C14" s="227">
        <v>28297.5</v>
      </c>
      <c r="D14"/>
      <c r="E14" s="95">
        <f t="shared" si="0"/>
        <v>98875.61235000001</v>
      </c>
      <c r="F14" s="95">
        <f t="shared" si="1"/>
        <v>78804.968000000008</v>
      </c>
      <c r="G14" s="79"/>
      <c r="I14" s="85"/>
      <c r="J14" s="85"/>
      <c r="K14" s="85"/>
      <c r="L14" s="85"/>
      <c r="M14" s="85"/>
      <c r="N14" s="85"/>
      <c r="O14" s="85"/>
      <c r="P14" s="85"/>
      <c r="Q14" s="79"/>
    </row>
    <row r="15" spans="1:19" x14ac:dyDescent="0.2">
      <c r="A15" s="96">
        <f>'Ex 1 HDD'!A16</f>
        <v>42767</v>
      </c>
      <c r="B15" s="99">
        <f>'Ex 4 Purchase Gas'!M14</f>
        <v>19483.68447</v>
      </c>
      <c r="C15" s="227">
        <v>23543.130000000008</v>
      </c>
      <c r="D15"/>
      <c r="E15" s="95">
        <f t="shared" si="0"/>
        <v>118359.29682000002</v>
      </c>
      <c r="F15" s="95">
        <f t="shared" si="1"/>
        <v>102348.09800000001</v>
      </c>
      <c r="G15" s="79"/>
      <c r="I15" s="85"/>
      <c r="J15" s="85"/>
      <c r="K15" s="85"/>
      <c r="L15" s="85"/>
      <c r="M15" s="85"/>
      <c r="N15" s="85"/>
      <c r="O15" s="85"/>
      <c r="P15" s="85"/>
      <c r="Q15" s="79"/>
    </row>
    <row r="16" spans="1:19" x14ac:dyDescent="0.2">
      <c r="A16" s="96">
        <f>'Ex 1 HDD'!A17</f>
        <v>42795</v>
      </c>
      <c r="B16" s="99">
        <f>'Ex 4 Purchase Gas'!M15</f>
        <v>0</v>
      </c>
      <c r="C16" s="227">
        <v>18082.46</v>
      </c>
      <c r="D16"/>
      <c r="E16" s="95">
        <f t="shared" si="0"/>
        <v>118359.29682000002</v>
      </c>
      <c r="F16" s="95">
        <f t="shared" si="1"/>
        <v>120430.55800000002</v>
      </c>
      <c r="G16" s="79"/>
      <c r="I16" s="85"/>
      <c r="J16" s="85"/>
      <c r="K16" s="85"/>
      <c r="L16" s="85"/>
      <c r="M16" s="85"/>
      <c r="N16" s="85"/>
      <c r="O16" s="85"/>
      <c r="P16" s="85"/>
      <c r="Q16" s="79"/>
    </row>
    <row r="17" spans="1:17" x14ac:dyDescent="0.2">
      <c r="A17" s="96">
        <f>'Ex 1 HDD'!A18</f>
        <v>42826</v>
      </c>
      <c r="B17" s="99">
        <f>'Ex 4 Purchase Gas'!M16</f>
        <v>0</v>
      </c>
      <c r="C17" s="227">
        <v>11524.27</v>
      </c>
      <c r="D17"/>
      <c r="E17" s="95">
        <f t="shared" si="0"/>
        <v>118359.29682000002</v>
      </c>
      <c r="F17" s="95">
        <f t="shared" si="1"/>
        <v>131954.82800000001</v>
      </c>
      <c r="G17" s="79"/>
      <c r="I17" s="85"/>
      <c r="J17" s="85"/>
      <c r="K17" s="85"/>
      <c r="L17" s="85"/>
      <c r="M17" s="85"/>
      <c r="N17" s="85"/>
      <c r="O17" s="85"/>
      <c r="P17" s="85"/>
      <c r="Q17" s="79"/>
    </row>
    <row r="18" spans="1:17" x14ac:dyDescent="0.2">
      <c r="A18" s="96">
        <f>'Ex 1 HDD'!A19</f>
        <v>42856</v>
      </c>
      <c r="B18" s="99">
        <f>'Ex 4 Purchase Gas'!M17</f>
        <v>0</v>
      </c>
      <c r="C18" s="227">
        <v>7014.18</v>
      </c>
      <c r="D18"/>
      <c r="E18" s="95">
        <f t="shared" si="0"/>
        <v>118359.29682000002</v>
      </c>
      <c r="F18" s="95">
        <f t="shared" si="1"/>
        <v>138969.008</v>
      </c>
      <c r="G18" s="79"/>
      <c r="I18" s="85"/>
      <c r="J18" s="85"/>
      <c r="K18" s="85"/>
      <c r="L18" s="85"/>
      <c r="M18" s="85"/>
      <c r="N18" s="85"/>
      <c r="O18" s="85"/>
      <c r="P18" s="85"/>
      <c r="Q18" s="79"/>
    </row>
    <row r="19" spans="1:17" x14ac:dyDescent="0.2">
      <c r="G19" s="87"/>
    </row>
    <row r="21" spans="1:17" x14ac:dyDescent="0.2">
      <c r="A21" s="79"/>
      <c r="B21" s="79"/>
      <c r="C21" s="79"/>
      <c r="D21" s="79"/>
      <c r="E21" s="79"/>
      <c r="F21" s="79"/>
      <c r="G21" s="79"/>
      <c r="H21" s="79"/>
    </row>
    <row r="22" spans="1:17" x14ac:dyDescent="0.2">
      <c r="A22" s="79"/>
      <c r="B22" s="79"/>
      <c r="C22" s="79"/>
      <c r="D22" s="79"/>
      <c r="E22" s="79"/>
      <c r="F22" s="79"/>
      <c r="G22" s="79"/>
      <c r="H22" s="79"/>
    </row>
    <row r="23" spans="1:17" ht="13.5" customHeight="1" x14ac:dyDescent="0.2">
      <c r="A23" s="55"/>
      <c r="B23" s="55"/>
      <c r="C23" s="55"/>
      <c r="D23" s="55"/>
      <c r="E23" s="79"/>
      <c r="F23" s="55"/>
      <c r="G23" s="55"/>
      <c r="H23" s="79"/>
    </row>
    <row r="24" spans="1:17" hidden="1" x14ac:dyDescent="0.2">
      <c r="A24" s="77"/>
      <c r="B24" s="78"/>
      <c r="C24" s="78"/>
      <c r="D24" s="78"/>
      <c r="E24" s="79"/>
      <c r="F24" s="78"/>
      <c r="G24" s="78"/>
      <c r="H24" s="79"/>
    </row>
    <row r="25" spans="1:17" hidden="1" x14ac:dyDescent="0.2">
      <c r="A25" s="77"/>
      <c r="B25" s="78"/>
      <c r="C25" s="78"/>
      <c r="D25" s="78"/>
      <c r="E25" s="79"/>
      <c r="F25" s="78"/>
      <c r="G25" s="78"/>
      <c r="H25" s="79"/>
    </row>
    <row r="26" spans="1:17" hidden="1" x14ac:dyDescent="0.2">
      <c r="A26" s="77"/>
      <c r="B26" s="78"/>
      <c r="C26" s="78"/>
      <c r="D26" s="78"/>
      <c r="E26" s="79"/>
      <c r="F26" s="78"/>
      <c r="G26" s="78"/>
      <c r="H26" s="79"/>
    </row>
    <row r="27" spans="1:17" hidden="1" x14ac:dyDescent="0.2">
      <c r="A27" s="77"/>
      <c r="B27" s="78"/>
      <c r="C27" s="78"/>
      <c r="D27" s="78"/>
      <c r="E27" s="79"/>
      <c r="F27" s="78"/>
      <c r="G27" s="78"/>
      <c r="H27" s="79"/>
    </row>
    <row r="28" spans="1:17" hidden="1" x14ac:dyDescent="0.2">
      <c r="A28" s="77"/>
      <c r="B28" s="78"/>
      <c r="C28" s="78"/>
      <c r="D28" s="78"/>
      <c r="E28" s="79"/>
      <c r="F28" s="78"/>
      <c r="G28" s="78"/>
      <c r="H28" s="79"/>
    </row>
    <row r="29" spans="1:17" hidden="1" x14ac:dyDescent="0.2">
      <c r="A29" s="77"/>
      <c r="B29" s="78"/>
      <c r="C29" s="78"/>
      <c r="D29" s="78"/>
      <c r="E29" s="79"/>
      <c r="F29" s="78"/>
      <c r="G29" s="78"/>
      <c r="H29" s="79"/>
    </row>
    <row r="30" spans="1:17" hidden="1" x14ac:dyDescent="0.2">
      <c r="A30" s="77"/>
      <c r="B30" s="78"/>
      <c r="C30" s="78"/>
      <c r="D30" s="78"/>
      <c r="E30" s="79"/>
      <c r="F30" s="78"/>
      <c r="G30" s="78"/>
      <c r="H30" s="79"/>
    </row>
    <row r="31" spans="1:17" hidden="1" x14ac:dyDescent="0.2">
      <c r="A31" s="77"/>
      <c r="B31" s="78"/>
      <c r="C31" s="78"/>
      <c r="D31" s="78"/>
      <c r="E31" s="79"/>
      <c r="F31" s="78"/>
      <c r="G31" s="78"/>
      <c r="H31" s="79"/>
    </row>
    <row r="32" spans="1:17" hidden="1" x14ac:dyDescent="0.2">
      <c r="A32" s="77"/>
      <c r="B32" s="78"/>
      <c r="C32" s="78"/>
      <c r="D32" s="78"/>
      <c r="E32" s="79"/>
      <c r="F32" s="78"/>
      <c r="G32" s="78"/>
      <c r="H32" s="79"/>
    </row>
    <row r="33" spans="1:8" x14ac:dyDescent="0.2">
      <c r="A33" s="77"/>
      <c r="B33" s="78"/>
      <c r="C33" s="78"/>
      <c r="D33" s="78"/>
      <c r="E33" s="79"/>
      <c r="F33" s="78"/>
      <c r="G33" s="78"/>
      <c r="H33" s="79"/>
    </row>
    <row r="34" spans="1:8" x14ac:dyDescent="0.2">
      <c r="A34" s="77"/>
      <c r="B34" s="78"/>
      <c r="C34" s="78"/>
      <c r="D34" s="78"/>
      <c r="E34" s="79"/>
      <c r="F34" s="78"/>
      <c r="G34" s="78"/>
      <c r="H34" s="79"/>
    </row>
    <row r="35" spans="1:8" x14ac:dyDescent="0.2">
      <c r="A35" s="77"/>
      <c r="B35" s="78"/>
      <c r="C35" s="78"/>
      <c r="D35" s="78"/>
      <c r="E35" s="79"/>
      <c r="F35" s="78"/>
      <c r="G35" s="78"/>
      <c r="H35" s="79"/>
    </row>
    <row r="36" spans="1:8" x14ac:dyDescent="0.2">
      <c r="A36" s="77"/>
      <c r="B36" s="78"/>
      <c r="C36" s="78"/>
      <c r="D36" s="78"/>
      <c r="E36" s="79"/>
      <c r="F36" s="78"/>
      <c r="G36" s="78"/>
      <c r="H36" s="79"/>
    </row>
    <row r="37" spans="1:8" x14ac:dyDescent="0.2">
      <c r="A37" s="77"/>
      <c r="B37" s="78"/>
      <c r="C37" s="78"/>
      <c r="D37" s="78"/>
      <c r="E37" s="79"/>
      <c r="F37" s="78"/>
      <c r="G37" s="78"/>
      <c r="H37" s="79"/>
    </row>
    <row r="38" spans="1:8" x14ac:dyDescent="0.2">
      <c r="A38" s="77"/>
      <c r="B38" s="78"/>
      <c r="C38" s="78"/>
      <c r="D38" s="78"/>
      <c r="E38" s="79"/>
      <c r="F38" s="78"/>
      <c r="G38" s="78"/>
      <c r="H38" s="79"/>
    </row>
    <row r="39" spans="1:8" x14ac:dyDescent="0.2">
      <c r="A39" s="79"/>
      <c r="B39" s="79"/>
      <c r="C39" s="79"/>
      <c r="D39" s="79"/>
      <c r="E39" s="79"/>
      <c r="F39" s="79"/>
      <c r="G39" s="79"/>
      <c r="H39" s="79"/>
    </row>
    <row r="40" spans="1:8" x14ac:dyDescent="0.2">
      <c r="A40" s="79"/>
      <c r="B40" s="78"/>
      <c r="C40" s="78"/>
      <c r="D40" s="78"/>
      <c r="E40" s="79"/>
      <c r="F40" s="79"/>
      <c r="G40" s="79"/>
      <c r="H40" s="79"/>
    </row>
    <row r="41" spans="1:8" x14ac:dyDescent="0.2">
      <c r="A41" s="79"/>
      <c r="B41" s="79"/>
      <c r="C41" s="79"/>
      <c r="D41" s="79"/>
      <c r="E41" s="79"/>
      <c r="F41" s="79"/>
      <c r="G41" s="79"/>
      <c r="H41" s="79"/>
    </row>
    <row r="42" spans="1:8" x14ac:dyDescent="0.2">
      <c r="A42" s="79"/>
      <c r="B42" s="79"/>
      <c r="C42" s="79"/>
      <c r="D42" s="79"/>
      <c r="E42" s="79"/>
      <c r="F42" s="79"/>
      <c r="G42" s="79"/>
      <c r="H42" s="79"/>
    </row>
  </sheetData>
  <mergeCells count="4">
    <mergeCell ref="A2:G2"/>
    <mergeCell ref="A1:G1"/>
    <mergeCell ref="A3:H3"/>
    <mergeCell ref="E5:F5"/>
  </mergeCells>
  <phoneticPr fontId="23" type="noConversion"/>
  <pageMargins left="0.75" right="0.75" top="1" bottom="1" header="0.5" footer="0.5"/>
  <pageSetup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O31:Q32"/>
  <sheetViews>
    <sheetView workbookViewId="0">
      <selection activeCell="O31" sqref="O31"/>
    </sheetView>
  </sheetViews>
  <sheetFormatPr defaultRowHeight="12.75" x14ac:dyDescent="0.2"/>
  <cols>
    <col min="1" max="14" width="8.28515625" customWidth="1"/>
    <col min="15" max="17" width="2.85546875" customWidth="1"/>
  </cols>
  <sheetData>
    <row r="31" spans="15:17" ht="105.75" customHeight="1" x14ac:dyDescent="0.2">
      <c r="O31" s="113" t="str">
        <f>'Exhibit 1.1'!O31</f>
        <v>DEU Variance Exhibit</v>
      </c>
      <c r="P31" s="113" t="str">
        <f>'Exhibit 1.1'!P31</f>
        <v>Docket No. 16-057-08</v>
      </c>
      <c r="Q31" s="113" t="str">
        <f>'Exhibit 1.1'!Q31</f>
        <v>Dominion Energy Utah</v>
      </c>
    </row>
    <row r="32" spans="15:17" ht="24.75" customHeight="1" x14ac:dyDescent="0.2">
      <c r="O32" s="112">
        <v>5.0999999999999996</v>
      </c>
      <c r="P32" s="112"/>
      <c r="Q32" s="112"/>
    </row>
  </sheetData>
  <printOptions horizontalCentered="1" verticalCentered="1"/>
  <pageMargins left="0.7" right="0.7" top="0.75" bottom="0.75" header="0.3" footer="0.3"/>
  <pageSetup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O30:Q33"/>
  <sheetViews>
    <sheetView topLeftCell="A4" workbookViewId="0">
      <selection activeCell="O31" sqref="O31"/>
    </sheetView>
  </sheetViews>
  <sheetFormatPr defaultRowHeight="12.75" x14ac:dyDescent="0.2"/>
  <cols>
    <col min="1" max="14" width="8.28515625" customWidth="1"/>
    <col min="15" max="17" width="2.85546875" customWidth="1"/>
  </cols>
  <sheetData>
    <row r="30" spans="15:17" ht="11.25" customHeight="1" x14ac:dyDescent="0.2"/>
    <row r="31" spans="15:17" hidden="1" x14ac:dyDescent="0.2"/>
    <row r="32" spans="15:17" ht="108" customHeight="1" x14ac:dyDescent="0.2">
      <c r="O32" s="110" t="str">
        <f>'Exhibit 1.1'!O31</f>
        <v>DEU Variance Exhibit</v>
      </c>
      <c r="P32" s="110" t="str">
        <f>'Exhibit 1.1'!P31</f>
        <v>Docket No. 16-057-08</v>
      </c>
      <c r="Q32" s="110" t="str">
        <f>'Exhibit 1.1'!Q31</f>
        <v>Dominion Energy Utah</v>
      </c>
    </row>
    <row r="33" spans="15:17" ht="21" customHeight="1" x14ac:dyDescent="0.2">
      <c r="O33" s="112">
        <v>5.2</v>
      </c>
      <c r="P33" s="110"/>
      <c r="Q33" s="110"/>
    </row>
  </sheetData>
  <printOptions horizontalCentered="1" verticalCentered="1"/>
  <pageMargins left="0.7" right="0.7" top="0.75" bottom="0.75" header="0.3" footer="0.3"/>
  <pageSetup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O29:Q34"/>
  <sheetViews>
    <sheetView topLeftCell="A7" workbookViewId="0">
      <selection activeCell="O31" sqref="O31"/>
    </sheetView>
  </sheetViews>
  <sheetFormatPr defaultRowHeight="12.75" x14ac:dyDescent="0.2"/>
  <cols>
    <col min="1" max="14" width="8.28515625" customWidth="1"/>
    <col min="15" max="17" width="2.85546875" customWidth="1"/>
  </cols>
  <sheetData>
    <row r="29" spans="15:17" ht="11.25" customHeight="1" x14ac:dyDescent="0.2"/>
    <row r="30" spans="15:17" hidden="1" x14ac:dyDescent="0.2"/>
    <row r="31" spans="15:17" ht="109.5" customHeight="1" x14ac:dyDescent="0.2">
      <c r="O31" s="110" t="str">
        <f>'Exhibit 1.1'!O31</f>
        <v>DEU Variance Exhibit</v>
      </c>
      <c r="P31" s="110" t="str">
        <f>'Exhibit 1.1'!P31</f>
        <v>Docket No. 16-057-08</v>
      </c>
      <c r="Q31" s="110" t="str">
        <f>'Exhibit 1.1'!Q31</f>
        <v>Dominion Energy Utah</v>
      </c>
    </row>
    <row r="32" spans="15:17" ht="24" customHeight="1" x14ac:dyDescent="0.2">
      <c r="O32" s="112">
        <v>5.3</v>
      </c>
      <c r="P32" s="109"/>
      <c r="Q32" s="109"/>
    </row>
    <row r="34" ht="5.25" customHeight="1" x14ac:dyDescent="0.2"/>
  </sheetData>
  <printOptions horizontalCentered="1" verticalCentered="1"/>
  <pageMargins left="0.7" right="0.7" top="0.75" bottom="0.75" header="0.3" footer="0.3"/>
  <pageSetup orientation="landscape" r:id="rId1"/>
  <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dimension ref="A1:K50"/>
  <sheetViews>
    <sheetView zoomScaleNormal="100" workbookViewId="0">
      <selection activeCell="A3" sqref="A3:H3"/>
    </sheetView>
  </sheetViews>
  <sheetFormatPr defaultRowHeight="12.75" x14ac:dyDescent="0.2"/>
  <cols>
    <col min="1" max="1" width="10.7109375" customWidth="1"/>
    <col min="2" max="3" width="13.5703125" customWidth="1"/>
    <col min="6" max="6" width="10" customWidth="1"/>
    <col min="7" max="7" width="10.42578125" customWidth="1"/>
    <col min="8" max="8" width="12" customWidth="1"/>
  </cols>
  <sheetData>
    <row r="1" spans="1:11" x14ac:dyDescent="0.2">
      <c r="A1" s="431" t="s">
        <v>61</v>
      </c>
      <c r="B1" s="431"/>
      <c r="C1" s="431"/>
      <c r="D1" s="431"/>
      <c r="E1" s="431"/>
      <c r="F1" s="431"/>
    </row>
    <row r="2" spans="1:11" x14ac:dyDescent="0.2">
      <c r="A2" s="431" t="s">
        <v>75</v>
      </c>
      <c r="B2" s="431"/>
      <c r="C2" s="431"/>
      <c r="D2" s="431"/>
      <c r="E2" s="431"/>
      <c r="F2" s="431"/>
      <c r="G2" s="431"/>
      <c r="H2" s="431"/>
    </row>
    <row r="3" spans="1:11" x14ac:dyDescent="0.2">
      <c r="A3" s="431" t="s">
        <v>29</v>
      </c>
      <c r="B3" s="431"/>
      <c r="C3" s="431"/>
      <c r="D3" s="431"/>
      <c r="E3" s="431"/>
      <c r="F3" s="431"/>
      <c r="G3" s="431"/>
      <c r="H3" s="431"/>
    </row>
    <row r="4" spans="1:11" x14ac:dyDescent="0.2">
      <c r="A4" s="28"/>
      <c r="B4" s="28"/>
      <c r="C4" s="28"/>
      <c r="D4" s="171"/>
      <c r="E4" s="28"/>
      <c r="F4" s="28"/>
    </row>
    <row r="5" spans="1:11" x14ac:dyDescent="0.2">
      <c r="A5" s="28"/>
      <c r="E5" s="28"/>
      <c r="F5" s="28"/>
    </row>
    <row r="6" spans="1:11" x14ac:dyDescent="0.2">
      <c r="B6" s="59"/>
      <c r="C6" s="60"/>
      <c r="D6" s="60"/>
      <c r="E6" s="9" t="s">
        <v>1</v>
      </c>
      <c r="F6" s="9" t="s">
        <v>1</v>
      </c>
      <c r="G6" s="9" t="s">
        <v>1</v>
      </c>
      <c r="I6" s="94" t="s">
        <v>2</v>
      </c>
      <c r="J6" s="94" t="s">
        <v>2</v>
      </c>
      <c r="K6" s="94" t="s">
        <v>2</v>
      </c>
    </row>
    <row r="7" spans="1:11" x14ac:dyDescent="0.2">
      <c r="A7" s="2" t="s">
        <v>0</v>
      </c>
      <c r="B7" s="2" t="s">
        <v>166</v>
      </c>
      <c r="C7" s="2" t="s">
        <v>167</v>
      </c>
      <c r="D7" s="55"/>
      <c r="E7" s="2" t="s">
        <v>38</v>
      </c>
      <c r="F7" s="2" t="s">
        <v>14</v>
      </c>
      <c r="G7" s="10" t="s">
        <v>15</v>
      </c>
      <c r="I7" s="169" t="s">
        <v>38</v>
      </c>
      <c r="J7" s="169" t="s">
        <v>14</v>
      </c>
      <c r="K7" s="169" t="s">
        <v>15</v>
      </c>
    </row>
    <row r="8" spans="1:11" x14ac:dyDescent="0.2">
      <c r="A8" s="1">
        <f>'Ex 1 HDD'!A8</f>
        <v>42522</v>
      </c>
      <c r="B8" s="6">
        <f t="shared" ref="B8:B19" si="0">G8</f>
        <v>1.2370053475935829</v>
      </c>
      <c r="C8" s="6">
        <f>K8</f>
        <v>1.9679961844013318</v>
      </c>
      <c r="D8" s="6"/>
      <c r="E8" s="3">
        <f>'Ex 4 Purchase Gas'!B6</f>
        <v>0.748</v>
      </c>
      <c r="F8" s="3">
        <f>'Ex 4 Purchase Gas'!M6</f>
        <v>0.92527999999999999</v>
      </c>
      <c r="G8" s="6">
        <f>F8/E8</f>
        <v>1.2370053475935829</v>
      </c>
      <c r="I8" s="73">
        <f>'Ex 4 Purchase Gas'!C6</f>
        <v>830.27599999999995</v>
      </c>
      <c r="J8">
        <f>'Ex 5 Purchase Gas Cost'!C7</f>
        <v>1633.98</v>
      </c>
      <c r="K8" s="6">
        <f t="shared" ref="K8:K19" si="1">J8/I8</f>
        <v>1.9679961844013318</v>
      </c>
    </row>
    <row r="9" spans="1:11" x14ac:dyDescent="0.2">
      <c r="A9" s="1">
        <f>'Ex 1 HDD'!A9</f>
        <v>42552</v>
      </c>
      <c r="B9" s="6">
        <f t="shared" si="0"/>
        <v>1.9774016853932586</v>
      </c>
      <c r="C9" s="6">
        <f t="shared" ref="C9:C19" si="2">K9</f>
        <v>2.1120732037068906</v>
      </c>
      <c r="D9" s="6"/>
      <c r="E9" s="73">
        <f>'Ex 4 Purchase Gas'!B7</f>
        <v>1.4239999999999999</v>
      </c>
      <c r="F9" s="3">
        <f>'Ex 4 Purchase Gas'!M7</f>
        <v>2.81582</v>
      </c>
      <c r="G9" s="6">
        <f t="shared" ref="G9:G19" si="3">F9/E9</f>
        <v>1.9774016853932586</v>
      </c>
      <c r="I9" s="73">
        <f>'Ex 4 Purchase Gas'!C7</f>
        <v>162.72399999999999</v>
      </c>
      <c r="J9">
        <f>'Ex 5 Purchase Gas Cost'!C8</f>
        <v>343.685</v>
      </c>
      <c r="K9" s="6">
        <f t="shared" si="1"/>
        <v>2.1120732037068906</v>
      </c>
    </row>
    <row r="10" spans="1:11" x14ac:dyDescent="0.2">
      <c r="A10" s="1">
        <f>'Ex 1 HDD'!A10</f>
        <v>42583</v>
      </c>
      <c r="B10" s="6">
        <f t="shared" si="0"/>
        <v>1.9672727272727273</v>
      </c>
      <c r="C10" s="6">
        <f t="shared" si="2"/>
        <v>2.156651275376976</v>
      </c>
      <c r="D10" s="6"/>
      <c r="E10" s="73">
        <f>'Ex 4 Purchase Gas'!B8</f>
        <v>0.13200000000000001</v>
      </c>
      <c r="F10" s="3">
        <f>'Ex 4 Purchase Gas'!M8</f>
        <v>0.25968000000000002</v>
      </c>
      <c r="G10" s="6">
        <f t="shared" si="3"/>
        <v>1.9672727272727273</v>
      </c>
      <c r="I10" s="73">
        <f>'Ex 4 Purchase Gas'!C8</f>
        <v>120.631</v>
      </c>
      <c r="J10">
        <f>'Ex 5 Purchase Gas Cost'!C9</f>
        <v>260.15899999999999</v>
      </c>
      <c r="K10" s="6">
        <f t="shared" si="1"/>
        <v>2.156651275376976</v>
      </c>
    </row>
    <row r="11" spans="1:11" x14ac:dyDescent="0.2">
      <c r="A11" s="1">
        <f>'Ex 1 HDD'!A11</f>
        <v>42614</v>
      </c>
      <c r="B11" s="6">
        <f t="shared" si="0"/>
        <v>2.7760958904109589</v>
      </c>
      <c r="C11" s="6">
        <f t="shared" si="2"/>
        <v>2.1012435811607908</v>
      </c>
      <c r="D11" s="6"/>
      <c r="E11" s="73">
        <f>'Ex 4 Purchase Gas'!B9</f>
        <v>730</v>
      </c>
      <c r="F11" s="73">
        <f>'Ex 4 Purchase Gas'!M9</f>
        <v>2026.55</v>
      </c>
      <c r="G11" s="6">
        <f t="shared" si="3"/>
        <v>2.7760958904109589</v>
      </c>
      <c r="I11" s="73">
        <f>'Ex 4 Purchase Gas'!C9</f>
        <v>521.31700000000001</v>
      </c>
      <c r="J11">
        <f>'Ex 5 Purchase Gas Cost'!C10</f>
        <v>1095.414</v>
      </c>
      <c r="K11" s="6">
        <f t="shared" si="1"/>
        <v>2.1012435811607908</v>
      </c>
    </row>
    <row r="12" spans="1:11" x14ac:dyDescent="0.2">
      <c r="A12" s="1">
        <f>'Ex 1 HDD'!A12</f>
        <v>42644</v>
      </c>
      <c r="B12" s="6">
        <f t="shared" si="0"/>
        <v>2.6748355263157895</v>
      </c>
      <c r="C12" s="6">
        <f t="shared" si="2"/>
        <v>2.1570492698704862</v>
      </c>
      <c r="D12" s="6"/>
      <c r="E12" s="73">
        <f>'Ex 4 Purchase Gas'!B10</f>
        <v>760</v>
      </c>
      <c r="F12" s="73">
        <f>'Ex 4 Purchase Gas'!M10</f>
        <v>2032.875</v>
      </c>
      <c r="G12" s="6">
        <f t="shared" si="3"/>
        <v>2.6748355263157895</v>
      </c>
      <c r="I12" s="73">
        <f>'Ex 4 Purchase Gas'!C10</f>
        <v>3811.721</v>
      </c>
      <c r="J12">
        <f>'Ex 5 Purchase Gas Cost'!C11</f>
        <v>8222.07</v>
      </c>
      <c r="K12" s="6">
        <f t="shared" si="1"/>
        <v>2.1570492698704862</v>
      </c>
    </row>
    <row r="13" spans="1:11" x14ac:dyDescent="0.2">
      <c r="A13" s="1">
        <f>'Ex 1 HDD'!A13</f>
        <v>42675</v>
      </c>
      <c r="B13" s="6">
        <f t="shared" si="0"/>
        <v>2.5539866882428868</v>
      </c>
      <c r="C13" s="6">
        <f t="shared" si="2"/>
        <v>2.397208781816877</v>
      </c>
      <c r="D13" s="6"/>
      <c r="E13" s="73">
        <f>'Ex 4 Purchase Gas'!B11</f>
        <v>5190.8999999999996</v>
      </c>
      <c r="F13" s="73">
        <f>'Ex 4 Purchase Gas'!M11</f>
        <v>13257.4895</v>
      </c>
      <c r="G13" s="6">
        <f t="shared" si="3"/>
        <v>2.5539866882428868</v>
      </c>
      <c r="H13" s="6">
        <f>C13-G13</f>
        <v>-0.15677790642600975</v>
      </c>
      <c r="I13" s="73">
        <f>'Ex 4 Purchase Gas'!C11</f>
        <v>7397.0569999999998</v>
      </c>
      <c r="J13">
        <f>'Ex 5 Purchase Gas Cost'!C12</f>
        <v>17732.29</v>
      </c>
      <c r="K13" s="6">
        <f t="shared" si="1"/>
        <v>2.397208781816877</v>
      </c>
    </row>
    <row r="14" spans="1:11" x14ac:dyDescent="0.2">
      <c r="A14" s="1">
        <f>'Ex 1 HDD'!A14</f>
        <v>42705</v>
      </c>
      <c r="B14" s="6">
        <f t="shared" si="0"/>
        <v>3.4471775977052928</v>
      </c>
      <c r="C14" s="6">
        <f t="shared" si="2"/>
        <v>2.8286254382430105</v>
      </c>
      <c r="D14" s="6"/>
      <c r="E14" s="73">
        <f>'Ex 4 Purchase Gas'!B12</f>
        <v>10338.923000000001</v>
      </c>
      <c r="F14" s="3">
        <f>'Ex 4 Purchase Gas'!M12</f>
        <v>35640.103750000002</v>
      </c>
      <c r="G14" s="6">
        <f t="shared" si="3"/>
        <v>3.4471775977052928</v>
      </c>
      <c r="I14" s="73">
        <f>'Ex 4 Purchase Gas'!C12</f>
        <v>7501.8310000000001</v>
      </c>
      <c r="J14">
        <f>'Ex 5 Purchase Gas Cost'!C13</f>
        <v>21219.870000000003</v>
      </c>
      <c r="K14" s="6">
        <f t="shared" si="1"/>
        <v>2.8286254382430105</v>
      </c>
    </row>
    <row r="15" spans="1:11" x14ac:dyDescent="0.2">
      <c r="A15" s="1">
        <f>'Ex 1 HDD'!A15</f>
        <v>42736</v>
      </c>
      <c r="B15" s="6">
        <f t="shared" si="0"/>
        <v>3.3860539301434995</v>
      </c>
      <c r="C15" s="6">
        <f t="shared" si="2"/>
        <v>2.8555213658791962</v>
      </c>
      <c r="D15" s="6"/>
      <c r="E15" s="73">
        <f>'Ex 4 Purchase Gas'!B13</f>
        <v>13559.912</v>
      </c>
      <c r="F15" s="3">
        <f>'Ex 4 Purchase Gas'!M13</f>
        <v>45914.59332</v>
      </c>
      <c r="G15" s="6">
        <f t="shared" si="3"/>
        <v>3.3860539301434995</v>
      </c>
      <c r="I15" s="73">
        <f>'Ex 4 Purchase Gas'!C13</f>
        <v>9909.7489999999998</v>
      </c>
      <c r="J15">
        <f>'Ex 5 Purchase Gas Cost'!C14</f>
        <v>28297.5</v>
      </c>
      <c r="K15" s="6">
        <f t="shared" si="1"/>
        <v>2.8555213658791962</v>
      </c>
    </row>
    <row r="16" spans="1:11" x14ac:dyDescent="0.2">
      <c r="A16" s="1">
        <f>'Ex 1 HDD'!A16</f>
        <v>42767</v>
      </c>
      <c r="B16" s="6">
        <f t="shared" si="0"/>
        <v>2.7918747834485171</v>
      </c>
      <c r="C16" s="6">
        <f t="shared" si="2"/>
        <v>2.7716141564270482</v>
      </c>
      <c r="D16" s="6"/>
      <c r="E16" s="73">
        <f>'Ex 4 Purchase Gas'!B14</f>
        <v>6978.71</v>
      </c>
      <c r="F16" s="3">
        <f>'Ex 4 Purchase Gas'!M14</f>
        <v>19483.68447</v>
      </c>
      <c r="G16" s="6">
        <f t="shared" si="3"/>
        <v>2.7918747834485171</v>
      </c>
      <c r="I16" s="73">
        <f>'Ex 4 Purchase Gas'!C14</f>
        <v>8494.375</v>
      </c>
      <c r="J16">
        <f>'Ex 5 Purchase Gas Cost'!C15</f>
        <v>23543.130000000008</v>
      </c>
      <c r="K16" s="6">
        <f t="shared" si="1"/>
        <v>2.7716141564270482</v>
      </c>
    </row>
    <row r="17" spans="1:11" x14ac:dyDescent="0.2">
      <c r="A17" s="1">
        <f>'Ex 1 HDD'!A17</f>
        <v>42795</v>
      </c>
      <c r="B17" s="6" t="e">
        <f t="shared" si="0"/>
        <v>#DIV/0!</v>
      </c>
      <c r="C17" s="6">
        <f t="shared" si="2"/>
        <v>2.5982961347125229</v>
      </c>
      <c r="D17" s="6"/>
      <c r="E17" s="73">
        <f>'Ex 4 Purchase Gas'!B15</f>
        <v>0</v>
      </c>
      <c r="F17" s="3">
        <f>'Ex 4 Purchase Gas'!M15</f>
        <v>0</v>
      </c>
      <c r="G17" s="6" t="e">
        <f t="shared" si="3"/>
        <v>#DIV/0!</v>
      </c>
      <c r="I17" s="73">
        <f>'Ex 4 Purchase Gas'!C15</f>
        <v>6959.3530000000001</v>
      </c>
      <c r="J17">
        <f>'Ex 5 Purchase Gas Cost'!C16</f>
        <v>18082.46</v>
      </c>
      <c r="K17" s="6">
        <f t="shared" si="1"/>
        <v>2.5982961347125229</v>
      </c>
    </row>
    <row r="18" spans="1:11" x14ac:dyDescent="0.2">
      <c r="A18" s="1">
        <f>'Ex 1 HDD'!A18</f>
        <v>42826</v>
      </c>
      <c r="B18" s="6" t="e">
        <f t="shared" si="0"/>
        <v>#DIV/0!</v>
      </c>
      <c r="C18" s="6">
        <f t="shared" si="2"/>
        <v>2.3886066711533172</v>
      </c>
      <c r="D18" s="6"/>
      <c r="E18" s="73">
        <f>'Ex 4 Purchase Gas'!B16</f>
        <v>0</v>
      </c>
      <c r="F18" s="3">
        <f>'Ex 4 Purchase Gas'!M16</f>
        <v>0</v>
      </c>
      <c r="G18" s="6" t="e">
        <f t="shared" si="3"/>
        <v>#DIV/0!</v>
      </c>
      <c r="I18" s="73">
        <f>'Ex 4 Purchase Gas'!C16</f>
        <v>4824.683</v>
      </c>
      <c r="J18">
        <f>'Ex 5 Purchase Gas Cost'!C17</f>
        <v>11524.27</v>
      </c>
      <c r="K18" s="6">
        <f t="shared" si="1"/>
        <v>2.3886066711533172</v>
      </c>
    </row>
    <row r="19" spans="1:11" x14ac:dyDescent="0.2">
      <c r="A19" s="1">
        <f>'Ex 1 HDD'!A19</f>
        <v>42856</v>
      </c>
      <c r="B19" s="6" t="e">
        <f t="shared" si="0"/>
        <v>#DIV/0!</v>
      </c>
      <c r="C19" s="6">
        <f t="shared" si="2"/>
        <v>2.321518407507043</v>
      </c>
      <c r="D19" s="6"/>
      <c r="E19" s="73">
        <f>'Ex 4 Purchase Gas'!B17</f>
        <v>0</v>
      </c>
      <c r="F19" s="3">
        <f>'Ex 4 Purchase Gas'!M17</f>
        <v>0</v>
      </c>
      <c r="G19" s="6" t="e">
        <f t="shared" si="3"/>
        <v>#DIV/0!</v>
      </c>
      <c r="I19" s="73">
        <f>'Ex 4 Purchase Gas'!C17</f>
        <v>3021.3760000000002</v>
      </c>
      <c r="J19">
        <f>'Ex 5 Purchase Gas Cost'!C18</f>
        <v>7014.18</v>
      </c>
      <c r="K19" s="6">
        <f t="shared" si="1"/>
        <v>2.321518407507043</v>
      </c>
    </row>
    <row r="20" spans="1:11" x14ac:dyDescent="0.2">
      <c r="C20" s="6"/>
      <c r="D20" s="6"/>
    </row>
    <row r="21" spans="1:11" x14ac:dyDescent="0.2">
      <c r="B21" s="6"/>
      <c r="C21" s="6"/>
      <c r="D21" s="6"/>
      <c r="G21" s="3"/>
      <c r="H21" s="6"/>
    </row>
    <row r="24" spans="1:11" x14ac:dyDescent="0.2">
      <c r="A24" s="8"/>
      <c r="B24" s="8"/>
      <c r="C24" s="8"/>
      <c r="D24" s="8"/>
      <c r="E24" s="8"/>
      <c r="F24" s="8"/>
      <c r="G24" s="8"/>
      <c r="H24" s="8"/>
    </row>
    <row r="25" spans="1:11" x14ac:dyDescent="0.2">
      <c r="A25" s="8"/>
      <c r="B25" s="8"/>
      <c r="C25" s="8"/>
      <c r="D25" s="8"/>
      <c r="E25" s="8"/>
      <c r="F25" s="8"/>
      <c r="G25" s="8"/>
      <c r="H25" s="8"/>
    </row>
    <row r="26" spans="1:11" x14ac:dyDescent="0.2">
      <c r="A26" s="8"/>
      <c r="B26" s="59"/>
      <c r="C26" s="60"/>
      <c r="D26" s="60"/>
      <c r="E26" s="8"/>
      <c r="F26" s="55"/>
      <c r="G26" s="55"/>
      <c r="H26" s="55"/>
    </row>
    <row r="27" spans="1:11" x14ac:dyDescent="0.2">
      <c r="A27" s="55"/>
      <c r="B27" s="55"/>
      <c r="C27" s="55"/>
      <c r="D27" s="55"/>
      <c r="E27" s="8"/>
      <c r="F27" s="55"/>
      <c r="G27" s="55"/>
      <c r="H27" s="59"/>
    </row>
    <row r="28" spans="1:11" hidden="1" x14ac:dyDescent="0.2">
      <c r="A28" s="63"/>
      <c r="B28" s="69"/>
      <c r="C28" s="69"/>
      <c r="D28" s="69"/>
      <c r="E28" s="8"/>
      <c r="F28" s="35"/>
      <c r="G28" s="35"/>
      <c r="H28" s="69"/>
    </row>
    <row r="29" spans="1:11" hidden="1" x14ac:dyDescent="0.2">
      <c r="A29" s="63"/>
      <c r="B29" s="69"/>
      <c r="C29" s="69"/>
      <c r="D29" s="69"/>
      <c r="E29" s="8"/>
      <c r="F29" s="35"/>
      <c r="G29" s="35"/>
      <c r="H29" s="69"/>
    </row>
    <row r="30" spans="1:11" hidden="1" x14ac:dyDescent="0.2">
      <c r="A30" s="63"/>
      <c r="B30" s="69"/>
      <c r="C30" s="69"/>
      <c r="D30" s="69"/>
      <c r="E30" s="8"/>
      <c r="F30" s="35"/>
      <c r="G30" s="35"/>
      <c r="H30" s="69"/>
    </row>
    <row r="31" spans="1:11" hidden="1" x14ac:dyDescent="0.2">
      <c r="A31" s="63"/>
      <c r="B31" s="69"/>
      <c r="C31" s="69"/>
      <c r="D31" s="69"/>
      <c r="E31" s="8"/>
      <c r="F31" s="35"/>
      <c r="G31" s="35"/>
      <c r="H31" s="69"/>
    </row>
    <row r="32" spans="1:11" hidden="1" x14ac:dyDescent="0.2">
      <c r="A32" s="63"/>
      <c r="B32" s="69"/>
      <c r="C32" s="69"/>
      <c r="D32" s="69"/>
      <c r="E32" s="8"/>
      <c r="F32" s="35"/>
      <c r="G32" s="35"/>
      <c r="H32" s="69"/>
    </row>
    <row r="33" spans="1:8" hidden="1" x14ac:dyDescent="0.2">
      <c r="A33" s="63"/>
      <c r="B33" s="69"/>
      <c r="C33" s="69"/>
      <c r="D33" s="69"/>
      <c r="E33" s="8"/>
      <c r="F33" s="35"/>
      <c r="G33" s="35"/>
      <c r="H33" s="69"/>
    </row>
    <row r="34" spans="1:8" hidden="1" x14ac:dyDescent="0.2">
      <c r="A34" s="63"/>
      <c r="B34" s="69"/>
      <c r="C34" s="69"/>
      <c r="D34" s="69"/>
      <c r="E34" s="8"/>
      <c r="F34" s="35"/>
      <c r="G34" s="35"/>
      <c r="H34" s="69"/>
    </row>
    <row r="35" spans="1:8" hidden="1" x14ac:dyDescent="0.2">
      <c r="A35" s="63"/>
      <c r="B35" s="69"/>
      <c r="C35" s="69"/>
      <c r="D35" s="69"/>
      <c r="E35" s="8"/>
      <c r="F35" s="35"/>
      <c r="G35" s="35"/>
      <c r="H35" s="69"/>
    </row>
    <row r="36" spans="1:8" hidden="1" x14ac:dyDescent="0.2">
      <c r="A36" s="63"/>
      <c r="B36" s="69"/>
      <c r="C36" s="69"/>
      <c r="D36" s="69"/>
      <c r="E36" s="8"/>
      <c r="F36" s="35"/>
      <c r="G36" s="35"/>
      <c r="H36" s="69"/>
    </row>
    <row r="37" spans="1:8" x14ac:dyDescent="0.2">
      <c r="A37" s="63"/>
      <c r="B37" s="69"/>
      <c r="C37" s="69"/>
      <c r="D37" s="69"/>
      <c r="E37" s="8"/>
      <c r="F37" s="35"/>
      <c r="G37" s="35"/>
      <c r="H37" s="69"/>
    </row>
    <row r="38" spans="1:8" x14ac:dyDescent="0.2">
      <c r="A38" s="63"/>
      <c r="B38" s="69"/>
      <c r="C38" s="69"/>
      <c r="D38" s="69"/>
      <c r="E38" s="8"/>
      <c r="F38" s="35"/>
      <c r="G38" s="35"/>
      <c r="H38" s="69"/>
    </row>
    <row r="39" spans="1:8" x14ac:dyDescent="0.2">
      <c r="A39" s="63"/>
      <c r="B39" s="69"/>
      <c r="C39" s="69"/>
      <c r="D39" s="69"/>
      <c r="E39" s="8"/>
      <c r="F39" s="35"/>
      <c r="G39" s="35"/>
      <c r="H39" s="69"/>
    </row>
    <row r="40" spans="1:8" x14ac:dyDescent="0.2">
      <c r="A40" s="63"/>
      <c r="B40" s="69"/>
      <c r="C40" s="69"/>
      <c r="D40" s="69"/>
      <c r="E40" s="8"/>
      <c r="F40" s="35"/>
      <c r="G40" s="35"/>
      <c r="H40" s="69"/>
    </row>
    <row r="41" spans="1:8" x14ac:dyDescent="0.2">
      <c r="A41" s="63"/>
      <c r="B41" s="69"/>
      <c r="C41" s="69"/>
      <c r="D41" s="69"/>
      <c r="E41" s="8"/>
      <c r="F41" s="35"/>
      <c r="G41" s="35"/>
      <c r="H41" s="69"/>
    </row>
    <row r="42" spans="1:8" x14ac:dyDescent="0.2">
      <c r="A42" s="63"/>
      <c r="B42" s="69"/>
      <c r="C42" s="69"/>
      <c r="D42" s="69"/>
      <c r="E42" s="8"/>
      <c r="F42" s="35"/>
      <c r="G42" s="35"/>
      <c r="H42" s="69"/>
    </row>
    <row r="43" spans="1:8" x14ac:dyDescent="0.2">
      <c r="A43" s="63"/>
      <c r="B43" s="69"/>
      <c r="C43" s="69"/>
      <c r="D43" s="69"/>
      <c r="E43" s="8"/>
      <c r="F43" s="35"/>
      <c r="G43" s="35"/>
      <c r="H43" s="69"/>
    </row>
    <row r="44" spans="1:8" x14ac:dyDescent="0.2">
      <c r="A44" s="8"/>
      <c r="B44" s="8"/>
      <c r="C44" s="69"/>
      <c r="D44" s="69"/>
      <c r="E44" s="8"/>
      <c r="F44" s="8"/>
      <c r="G44" s="8"/>
      <c r="H44" s="8"/>
    </row>
    <row r="45" spans="1:8" x14ac:dyDescent="0.2">
      <c r="A45" s="8"/>
      <c r="B45" s="69"/>
      <c r="C45" s="69"/>
      <c r="D45" s="69"/>
      <c r="E45" s="8"/>
      <c r="F45" s="8"/>
      <c r="G45" s="35"/>
      <c r="H45" s="69"/>
    </row>
    <row r="46" spans="1:8" x14ac:dyDescent="0.2">
      <c r="A46" s="8"/>
      <c r="B46" s="8"/>
      <c r="C46" s="8"/>
      <c r="D46" s="8"/>
      <c r="E46" s="8"/>
      <c r="F46" s="8"/>
      <c r="G46" s="8"/>
      <c r="H46" s="8"/>
    </row>
    <row r="47" spans="1:8" x14ac:dyDescent="0.2">
      <c r="A47" s="8"/>
      <c r="B47" s="8"/>
      <c r="C47" s="8"/>
      <c r="D47" s="8"/>
      <c r="E47" s="8"/>
      <c r="F47" s="8"/>
      <c r="G47" s="8"/>
      <c r="H47" s="8"/>
    </row>
    <row r="48" spans="1:8" x14ac:dyDescent="0.2">
      <c r="A48" s="8"/>
      <c r="B48" s="8"/>
      <c r="C48" s="8"/>
      <c r="D48" s="8"/>
      <c r="E48" s="8"/>
      <c r="F48" s="8"/>
      <c r="G48" s="8"/>
      <c r="H48" s="8"/>
    </row>
    <row r="49" spans="1:8" x14ac:dyDescent="0.2">
      <c r="A49" s="8"/>
      <c r="B49" s="8"/>
      <c r="C49" s="8"/>
      <c r="D49" s="8"/>
      <c r="E49" s="8"/>
      <c r="F49" s="8"/>
      <c r="G49" s="8"/>
      <c r="H49" s="8"/>
    </row>
    <row r="50" spans="1:8" x14ac:dyDescent="0.2">
      <c r="A50" s="8"/>
      <c r="B50" s="8"/>
      <c r="C50" s="8"/>
      <c r="D50" s="8"/>
      <c r="E50" s="8"/>
      <c r="F50" s="8"/>
      <c r="G50" s="8"/>
      <c r="H50" s="8"/>
    </row>
  </sheetData>
  <mergeCells count="3">
    <mergeCell ref="A1:F1"/>
    <mergeCell ref="A2:H2"/>
    <mergeCell ref="A3:H3"/>
  </mergeCells>
  <phoneticPr fontId="23" type="noConversion"/>
  <pageMargins left="0.75" right="0.75" top="1" bottom="1" header="0.5" footer="0.5"/>
  <pageSetup orientation="portrait" r:id="rId1"/>
  <headerFooter alignWithMargins="0"/>
  <legacy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O27:Q32"/>
  <sheetViews>
    <sheetView topLeftCell="A16" workbookViewId="0">
      <selection activeCell="O31" sqref="O31"/>
    </sheetView>
  </sheetViews>
  <sheetFormatPr defaultRowHeight="12.75" x14ac:dyDescent="0.2"/>
  <cols>
    <col min="1" max="14" width="8.28515625" customWidth="1"/>
    <col min="15" max="17" width="2.85546875" customWidth="1"/>
  </cols>
  <sheetData>
    <row r="27" spans="15:17" ht="3" customHeight="1" x14ac:dyDescent="0.2"/>
    <row r="31" spans="15:17" ht="108.75" customHeight="1" x14ac:dyDescent="0.2">
      <c r="O31" s="110" t="str">
        <f>'Exhibit 1.1'!O31</f>
        <v>DEU Variance Exhibit</v>
      </c>
      <c r="P31" s="110" t="str">
        <f>'Exhibit 1.1'!P31</f>
        <v>Docket No. 16-057-08</v>
      </c>
      <c r="Q31" s="110" t="str">
        <f>'Exhibit 1.1'!Q31</f>
        <v>Dominion Energy Utah</v>
      </c>
    </row>
    <row r="32" spans="15:17" ht="27.75" customHeight="1" x14ac:dyDescent="0.2">
      <c r="O32" s="112">
        <v>6.1</v>
      </c>
      <c r="P32" s="109"/>
      <c r="Q32" s="109"/>
    </row>
  </sheetData>
  <printOptions horizontalCentered="1" verticalCentered="1"/>
  <pageMargins left="0.7" right="0.7" top="0.75" bottom="0.75" header="0.3" footer="0.3"/>
  <pageSetup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O31:Q32"/>
  <sheetViews>
    <sheetView workbookViewId="0">
      <selection activeCell="O31" sqref="O31"/>
    </sheetView>
  </sheetViews>
  <sheetFormatPr defaultRowHeight="12.75" x14ac:dyDescent="0.2"/>
  <cols>
    <col min="1" max="14" width="8.28515625" customWidth="1"/>
    <col min="15" max="17" width="2.85546875" customWidth="1"/>
  </cols>
  <sheetData>
    <row r="31" spans="15:17" ht="108" customHeight="1" x14ac:dyDescent="0.2">
      <c r="O31" s="110" t="str">
        <f>'Exhibit 1.1'!O31</f>
        <v>DEU Variance Exhibit</v>
      </c>
      <c r="P31" s="110" t="str">
        <f>'Exhibit 1.1'!P31</f>
        <v>Docket No. 16-057-08</v>
      </c>
      <c r="Q31" s="110" t="str">
        <f>'Exhibit 1.1'!Q31</f>
        <v>Dominion Energy Utah</v>
      </c>
    </row>
    <row r="32" spans="15:17" ht="24.75" customHeight="1" x14ac:dyDescent="0.2">
      <c r="O32" s="112">
        <v>6.2</v>
      </c>
      <c r="P32" s="109"/>
      <c r="Q32" s="109"/>
    </row>
  </sheetData>
  <printOptions horizontalCentered="1" verticalCentered="1"/>
  <pageMargins left="0.7" right="0.7" top="0.75" bottom="0.75" header="0.3" footer="0.3"/>
  <pageSetup orientation="landscape" r:id="rId1"/>
  <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dimension ref="A1:AH55"/>
  <sheetViews>
    <sheetView zoomScaleNormal="100" workbookViewId="0">
      <selection activeCell="B16" sqref="B16"/>
    </sheetView>
  </sheetViews>
  <sheetFormatPr defaultRowHeight="14.25" customHeight="1" x14ac:dyDescent="0.2"/>
  <cols>
    <col min="1" max="1" width="11.7109375" customWidth="1"/>
    <col min="2" max="2" width="11.85546875" customWidth="1"/>
    <col min="3" max="3" width="9.28515625" customWidth="1"/>
    <col min="4" max="4" width="11.5703125" customWidth="1"/>
    <col min="5" max="7" width="12.140625" customWidth="1"/>
    <col min="11" max="13" width="13.28515625" customWidth="1"/>
    <col min="15" max="15" width="11.5703125" bestFit="1" customWidth="1"/>
  </cols>
  <sheetData>
    <row r="1" spans="1:34" ht="14.25" customHeight="1" x14ac:dyDescent="0.2">
      <c r="A1" s="442" t="s">
        <v>34</v>
      </c>
      <c r="B1" s="442"/>
      <c r="C1" s="442"/>
      <c r="D1" s="442"/>
      <c r="E1" s="442"/>
      <c r="F1" s="442"/>
      <c r="G1" s="442"/>
      <c r="H1" s="442"/>
      <c r="I1" s="172"/>
      <c r="J1" s="204"/>
    </row>
    <row r="2" spans="1:34" ht="14.25" customHeight="1" x14ac:dyDescent="0.2">
      <c r="A2" s="442" t="s">
        <v>5</v>
      </c>
      <c r="B2" s="442"/>
      <c r="C2" s="442"/>
      <c r="D2" s="442"/>
      <c r="E2" s="442"/>
      <c r="F2" s="442"/>
      <c r="G2" s="442"/>
      <c r="H2" s="442"/>
      <c r="I2" s="172"/>
      <c r="J2" s="204"/>
      <c r="U2" s="17"/>
      <c r="V2" s="17"/>
      <c r="W2" s="17"/>
      <c r="X2" s="17"/>
      <c r="Y2" s="17"/>
      <c r="Z2" s="17"/>
      <c r="AA2" s="17"/>
      <c r="AB2" s="17"/>
      <c r="AC2" s="17"/>
      <c r="AD2" s="17"/>
      <c r="AE2" s="17"/>
      <c r="AF2" s="17"/>
      <c r="AG2" s="17"/>
      <c r="AH2" s="17"/>
    </row>
    <row r="3" spans="1:34" ht="42.75" customHeight="1" x14ac:dyDescent="0.25">
      <c r="A3" s="443" t="s">
        <v>56</v>
      </c>
      <c r="B3" s="443"/>
      <c r="C3" s="443"/>
      <c r="D3" s="443"/>
      <c r="E3" s="443"/>
      <c r="F3" s="443"/>
      <c r="G3" s="443"/>
      <c r="H3" s="443"/>
      <c r="I3" s="443"/>
      <c r="J3" s="443"/>
      <c r="K3" s="443"/>
      <c r="L3" s="443"/>
      <c r="M3" s="443"/>
      <c r="O3" s="443"/>
      <c r="P3" s="443"/>
      <c r="Q3" s="443"/>
      <c r="R3" s="443"/>
      <c r="S3" s="443"/>
      <c r="T3" s="443"/>
      <c r="U3" s="17"/>
      <c r="V3" s="101"/>
      <c r="W3" s="101"/>
      <c r="X3" s="101"/>
      <c r="Y3" s="101"/>
      <c r="Z3" s="101"/>
      <c r="AA3" s="101"/>
      <c r="AB3" s="101"/>
      <c r="AC3" s="101"/>
      <c r="AD3" s="101"/>
      <c r="AE3" s="101"/>
      <c r="AF3" s="101"/>
      <c r="AG3" s="17"/>
      <c r="AH3" s="17"/>
    </row>
    <row r="4" spans="1:34" s="154" customFormat="1" ht="15" customHeight="1" x14ac:dyDescent="0.25">
      <c r="A4" s="156"/>
      <c r="B4" s="156"/>
      <c r="C4" s="156"/>
      <c r="D4" s="156"/>
      <c r="E4" s="156"/>
      <c r="F4" s="156"/>
      <c r="G4" s="156"/>
      <c r="H4" s="156"/>
      <c r="I4" s="156"/>
      <c r="J4" s="156"/>
      <c r="U4" s="157"/>
      <c r="V4" s="157"/>
      <c r="W4" s="157"/>
      <c r="X4" s="157"/>
      <c r="Y4" s="157"/>
      <c r="Z4" s="157"/>
      <c r="AA4" s="157"/>
      <c r="AB4" s="157"/>
      <c r="AC4" s="157"/>
      <c r="AD4" s="157"/>
      <c r="AE4" s="157"/>
      <c r="AF4" s="157"/>
      <c r="AG4" s="157"/>
      <c r="AH4" s="157"/>
    </row>
    <row r="5" spans="1:34" s="154" customFormat="1" ht="15" customHeight="1" x14ac:dyDescent="0.25">
      <c r="A5" s="156"/>
      <c r="B5" s="156"/>
      <c r="C5" s="156"/>
      <c r="D5" s="156"/>
      <c r="E5" s="156"/>
      <c r="F5" s="156"/>
      <c r="G5" s="156"/>
      <c r="H5" s="156"/>
      <c r="I5" s="156"/>
      <c r="J5" s="156"/>
      <c r="U5" s="157"/>
      <c r="V5" s="157"/>
      <c r="W5" s="157"/>
      <c r="X5" s="157"/>
      <c r="Y5" s="157"/>
      <c r="Z5" s="157"/>
      <c r="AA5" s="157"/>
      <c r="AB5" s="157"/>
      <c r="AC5" s="157"/>
      <c r="AD5" s="157"/>
      <c r="AE5" s="157"/>
      <c r="AF5" s="157"/>
      <c r="AG5" s="157"/>
      <c r="AH5" s="157"/>
    </row>
    <row r="6" spans="1:34" s="154" customFormat="1" ht="15" customHeight="1" x14ac:dyDescent="0.25">
      <c r="H6" s="191" t="s">
        <v>16</v>
      </c>
      <c r="I6" s="174"/>
      <c r="J6" s="191"/>
      <c r="U6" s="157"/>
      <c r="V6" s="157"/>
      <c r="W6" s="157"/>
      <c r="X6" s="157"/>
      <c r="Y6" s="157"/>
      <c r="Z6" s="157"/>
      <c r="AA6" s="157"/>
      <c r="AB6" s="157"/>
      <c r="AC6" s="157"/>
      <c r="AD6" s="157"/>
      <c r="AE6" s="157"/>
      <c r="AF6" s="157"/>
      <c r="AG6" s="157"/>
      <c r="AH6" s="157"/>
    </row>
    <row r="7" spans="1:34" s="218" customFormat="1" ht="30" customHeight="1" x14ac:dyDescent="0.25">
      <c r="A7" s="219" t="s">
        <v>0</v>
      </c>
      <c r="B7" s="219" t="s">
        <v>1</v>
      </c>
      <c r="C7" s="219" t="s">
        <v>258</v>
      </c>
      <c r="D7" s="219" t="s">
        <v>201</v>
      </c>
      <c r="E7" s="219" t="s">
        <v>202</v>
      </c>
      <c r="F7" s="219" t="s">
        <v>203</v>
      </c>
      <c r="G7" s="217"/>
      <c r="H7" s="219" t="s">
        <v>1</v>
      </c>
      <c r="I7" s="219" t="s">
        <v>258</v>
      </c>
      <c r="J7" s="216"/>
      <c r="K7" s="218" t="s">
        <v>174</v>
      </c>
      <c r="L7" s="218" t="s">
        <v>150</v>
      </c>
      <c r="M7" s="218" t="s">
        <v>151</v>
      </c>
      <c r="N7" s="158"/>
      <c r="O7" s="158"/>
      <c r="P7" s="158"/>
      <c r="Q7" s="158"/>
      <c r="R7" s="158"/>
      <c r="S7" s="158"/>
      <c r="T7" s="158"/>
      <c r="U7" s="158"/>
    </row>
    <row r="8" spans="1:34" s="154" customFormat="1" ht="15" customHeight="1" x14ac:dyDescent="0.25">
      <c r="A8" s="159">
        <f>'Ex 1 HDD'!A8</f>
        <v>42522</v>
      </c>
      <c r="B8" s="160">
        <f>'Company Nom Groups'!S105</f>
        <v>5738.9100000000008</v>
      </c>
      <c r="C8" s="161">
        <f>'Company Nom Groups'!B105</f>
        <v>5344.2979461848736</v>
      </c>
      <c r="D8" s="220">
        <f>'Company Nom Groups'!B109</f>
        <v>5346.0870000000014</v>
      </c>
      <c r="E8" s="170">
        <f>D8-C8</f>
        <v>1.7890538151277724</v>
      </c>
      <c r="F8" s="170">
        <f>(E8/30)*1000</f>
        <v>59.635127170925749</v>
      </c>
      <c r="G8" s="170"/>
      <c r="H8" s="160">
        <f>B8</f>
        <v>5738.9100000000008</v>
      </c>
      <c r="I8" s="160">
        <f>C8</f>
        <v>5344.2979461848736</v>
      </c>
      <c r="J8" s="160"/>
      <c r="K8" s="162">
        <f>DAY(EOMONTH(A8,0))</f>
        <v>30</v>
      </c>
      <c r="L8" s="163">
        <f>C8</f>
        <v>5344.2979461848736</v>
      </c>
      <c r="M8" s="163">
        <f>L8/K8</f>
        <v>178.14326487282912</v>
      </c>
      <c r="N8" s="153"/>
      <c r="O8" s="153" t="e">
        <f>#REF!/C8</f>
        <v>#REF!</v>
      </c>
      <c r="P8" s="153"/>
      <c r="Q8" s="153"/>
      <c r="R8" s="153"/>
      <c r="S8" s="153"/>
      <c r="T8" s="153"/>
      <c r="U8" s="153"/>
    </row>
    <row r="9" spans="1:34" s="154" customFormat="1" ht="15" customHeight="1" x14ac:dyDescent="0.25">
      <c r="A9" s="159">
        <f>'Ex 1 HDD'!A9</f>
        <v>42552</v>
      </c>
      <c r="B9" s="160">
        <f>'Company Nom Groups'!W105</f>
        <v>5875.2499999999991</v>
      </c>
      <c r="C9" s="161">
        <f>'Company Nom Groups'!C105</f>
        <v>5520.9338066577911</v>
      </c>
      <c r="D9" s="220">
        <f>'Company Nom Groups'!C109</f>
        <v>5545.1188000000002</v>
      </c>
      <c r="E9" s="170">
        <f t="shared" ref="E9:E19" si="0">D9-C9</f>
        <v>24.184993342209054</v>
      </c>
      <c r="F9" s="170">
        <f t="shared" ref="F9:F18" si="1">(E9/30)*1000</f>
        <v>806.16644474030181</v>
      </c>
      <c r="G9" s="170"/>
      <c r="H9" s="160">
        <f t="shared" ref="H9:H19" si="2">H8+B9</f>
        <v>11614.16</v>
      </c>
      <c r="I9" s="160">
        <f t="shared" ref="I9:I19" si="3">I8+C9</f>
        <v>10865.231752842665</v>
      </c>
      <c r="J9" s="160"/>
      <c r="K9" s="162">
        <f t="shared" ref="K9:K19" si="4">DAY(EOMONTH(A9,0))</f>
        <v>31</v>
      </c>
      <c r="L9" s="163">
        <f t="shared" ref="L9:L19" si="5">C9</f>
        <v>5520.9338066577911</v>
      </c>
      <c r="M9" s="163">
        <f t="shared" ref="M9:M19" si="6">L9/K9</f>
        <v>178.09463892444487</v>
      </c>
      <c r="N9" s="153"/>
      <c r="O9" s="153" t="e">
        <f>#REF!/C9</f>
        <v>#REF!</v>
      </c>
      <c r="P9" s="153"/>
      <c r="Q9" s="153"/>
      <c r="R9" s="153"/>
      <c r="S9" s="153"/>
      <c r="T9" s="153"/>
      <c r="U9" s="153"/>
    </row>
    <row r="10" spans="1:34" s="154" customFormat="1" ht="15" customHeight="1" x14ac:dyDescent="0.25">
      <c r="A10" s="159">
        <f>'Ex 1 HDD'!A10</f>
        <v>42583</v>
      </c>
      <c r="B10" s="160">
        <f>'Company Nom Groups'!AA105</f>
        <v>5626.69</v>
      </c>
      <c r="C10" s="161">
        <f>'Company Nom Groups'!D105</f>
        <v>5441.3772496581078</v>
      </c>
      <c r="D10" s="220">
        <f>'Company Nom Groups'!D109</f>
        <v>5441.3773000000028</v>
      </c>
      <c r="E10" s="170">
        <f t="shared" si="0"/>
        <v>5.0341895075689536E-5</v>
      </c>
      <c r="F10" s="170">
        <f t="shared" si="1"/>
        <v>1.678063169189651E-3</v>
      </c>
      <c r="G10" s="170">
        <f>B10/31</f>
        <v>181.50612903225806</v>
      </c>
      <c r="H10" s="160">
        <f t="shared" si="2"/>
        <v>17240.849999999999</v>
      </c>
      <c r="I10" s="160">
        <f t="shared" si="3"/>
        <v>16306.609002500772</v>
      </c>
      <c r="J10" s="160"/>
      <c r="K10" s="162">
        <f t="shared" si="4"/>
        <v>31</v>
      </c>
      <c r="L10" s="163">
        <f t="shared" si="5"/>
        <v>5441.3772496581078</v>
      </c>
      <c r="M10" s="163">
        <f t="shared" si="6"/>
        <v>175.52829837606799</v>
      </c>
      <c r="N10" s="153"/>
      <c r="O10" s="153" t="e">
        <f>#REF!/C10</f>
        <v>#REF!</v>
      </c>
      <c r="P10" s="153"/>
      <c r="Q10" s="153"/>
      <c r="R10" s="153"/>
      <c r="S10" s="153"/>
      <c r="T10" s="153"/>
      <c r="U10" s="153"/>
    </row>
    <row r="11" spans="1:34" s="154" customFormat="1" ht="15" customHeight="1" x14ac:dyDescent="0.25">
      <c r="A11" s="159">
        <f>'Ex 1 HDD'!A11</f>
        <v>42614</v>
      </c>
      <c r="B11" s="160">
        <f>'Company Nom Groups'!AM105</f>
        <v>5701.7300000000023</v>
      </c>
      <c r="C11" s="161">
        <f>'Company Nom Groups'!E105</f>
        <v>5176.3080141991377</v>
      </c>
      <c r="D11" s="220">
        <f>'Company Nom Groups'!E109</f>
        <v>5176.308</v>
      </c>
      <c r="E11" s="170">
        <f t="shared" si="0"/>
        <v>-1.4199137694959063E-5</v>
      </c>
      <c r="F11" s="170">
        <f t="shared" si="1"/>
        <v>-4.7330458983196877E-4</v>
      </c>
      <c r="G11" s="170"/>
      <c r="H11" s="160">
        <f t="shared" si="2"/>
        <v>22942.58</v>
      </c>
      <c r="I11" s="160">
        <f t="shared" si="3"/>
        <v>21482.91701669991</v>
      </c>
      <c r="J11" s="160"/>
      <c r="K11" s="162">
        <f t="shared" si="4"/>
        <v>30</v>
      </c>
      <c r="L11" s="163">
        <f t="shared" si="5"/>
        <v>5176.3080141991377</v>
      </c>
      <c r="M11" s="163">
        <f t="shared" si="6"/>
        <v>172.54360047330459</v>
      </c>
      <c r="N11" s="153"/>
      <c r="O11" s="153"/>
      <c r="P11" s="153"/>
      <c r="Q11" s="153"/>
      <c r="R11" s="153">
        <v>5510.31</v>
      </c>
      <c r="S11" s="153">
        <v>5912.24</v>
      </c>
      <c r="T11" s="153">
        <v>5904.7699999999995</v>
      </c>
      <c r="U11" s="153">
        <v>5589.6990000000005</v>
      </c>
      <c r="V11" s="154">
        <v>5649.3380000000006</v>
      </c>
      <c r="W11" s="154">
        <v>5610.46</v>
      </c>
      <c r="X11" s="154">
        <v>5693.9030000000012</v>
      </c>
      <c r="Y11" s="154">
        <v>5594.112000000001</v>
      </c>
      <c r="Z11" s="154">
        <v>5150.6489999999994</v>
      </c>
      <c r="AA11" s="154">
        <v>5423.2280000000001</v>
      </c>
      <c r="AB11" s="154">
        <v>5288.2490000000007</v>
      </c>
      <c r="AC11" s="154">
        <v>5406.898000000002</v>
      </c>
    </row>
    <row r="12" spans="1:34" s="154" customFormat="1" ht="15" customHeight="1" x14ac:dyDescent="0.25">
      <c r="A12" s="159">
        <f>'Ex 1 HDD'!A12</f>
        <v>42644</v>
      </c>
      <c r="B12" s="160">
        <f>'Company Nom Groups'!AQ105</f>
        <v>5899.58</v>
      </c>
      <c r="C12" s="161">
        <f>'Company Nom Groups'!F105</f>
        <v>5307.6774236559868</v>
      </c>
      <c r="D12" s="220">
        <f>'Company Nom Groups'!F109</f>
        <v>5307.6773999999987</v>
      </c>
      <c r="E12" s="170">
        <f t="shared" si="0"/>
        <v>-2.3655988115933724E-5</v>
      </c>
      <c r="F12" s="170">
        <f t="shared" si="1"/>
        <v>-7.8853293719779072E-4</v>
      </c>
      <c r="G12" s="170"/>
      <c r="H12" s="160">
        <f t="shared" si="2"/>
        <v>28842.160000000003</v>
      </c>
      <c r="I12" s="160">
        <f t="shared" si="3"/>
        <v>26790.594440355897</v>
      </c>
      <c r="J12" s="160"/>
      <c r="K12" s="162">
        <f t="shared" si="4"/>
        <v>31</v>
      </c>
      <c r="L12" s="163">
        <f t="shared" si="5"/>
        <v>5307.6774236559868</v>
      </c>
      <c r="M12" s="163">
        <f t="shared" si="6"/>
        <v>171.21540076309634</v>
      </c>
      <c r="N12" s="153"/>
      <c r="O12" s="153"/>
      <c r="P12" s="153"/>
      <c r="Q12" s="153"/>
      <c r="R12" s="153"/>
      <c r="S12" s="153"/>
      <c r="T12" s="153"/>
      <c r="U12" s="153"/>
    </row>
    <row r="13" spans="1:34" s="154" customFormat="1" ht="15" customHeight="1" x14ac:dyDescent="0.25">
      <c r="A13" s="159">
        <f>'Ex 1 HDD'!A13</f>
        <v>42675</v>
      </c>
      <c r="B13" s="160">
        <f>'Company Nom Groups'!AU105</f>
        <v>5676.22</v>
      </c>
      <c r="C13" s="161">
        <f>'Company Nom Groups'!G105</f>
        <v>5238.4319805800915</v>
      </c>
      <c r="D13" s="220">
        <f>'Company Nom Groups'!G109</f>
        <v>5238.431999999998</v>
      </c>
      <c r="E13" s="170">
        <f t="shared" si="0"/>
        <v>1.9419906493567396E-5</v>
      </c>
      <c r="F13" s="170">
        <f t="shared" si="1"/>
        <v>6.4733021645224653E-4</v>
      </c>
      <c r="G13" s="170"/>
      <c r="H13" s="160">
        <f t="shared" si="2"/>
        <v>34518.380000000005</v>
      </c>
      <c r="I13" s="160">
        <f t="shared" si="3"/>
        <v>32029.026420935988</v>
      </c>
      <c r="J13" s="160"/>
      <c r="K13" s="162">
        <f t="shared" si="4"/>
        <v>30</v>
      </c>
      <c r="L13" s="163">
        <f t="shared" si="5"/>
        <v>5238.4319805800915</v>
      </c>
      <c r="M13" s="163">
        <f t="shared" si="6"/>
        <v>174.61439935266972</v>
      </c>
      <c r="N13" s="153"/>
      <c r="O13" s="153"/>
      <c r="P13" s="153"/>
      <c r="Q13" s="153"/>
      <c r="S13" s="153"/>
      <c r="T13" s="153"/>
      <c r="U13" s="153"/>
    </row>
    <row r="14" spans="1:34" s="154" customFormat="1" ht="15" customHeight="1" x14ac:dyDescent="0.25">
      <c r="A14" s="159">
        <f>'Ex 1 HDD'!A14</f>
        <v>42705</v>
      </c>
      <c r="B14" s="160">
        <f>'Company Nom Groups'!BH105</f>
        <v>5712.3699999999981</v>
      </c>
      <c r="C14" s="161">
        <f>'Company Nom Groups'!H105</f>
        <v>5699.6538491696119</v>
      </c>
      <c r="D14" s="220">
        <f>'Company Nom Groups'!H109</f>
        <v>5699.6537999999973</v>
      </c>
      <c r="E14" s="170">
        <f t="shared" si="0"/>
        <v>-4.9169614612765145E-5</v>
      </c>
      <c r="F14" s="170">
        <f t="shared" si="1"/>
        <v>-1.6389871537588381E-3</v>
      </c>
      <c r="G14" s="170"/>
      <c r="H14" s="160">
        <f t="shared" si="2"/>
        <v>40230.75</v>
      </c>
      <c r="I14" s="160">
        <f t="shared" si="3"/>
        <v>37728.6802701056</v>
      </c>
      <c r="J14" s="160"/>
      <c r="K14" s="162">
        <f t="shared" si="4"/>
        <v>31</v>
      </c>
      <c r="L14" s="163">
        <f t="shared" si="5"/>
        <v>5699.6538491696119</v>
      </c>
      <c r="M14" s="163">
        <f t="shared" si="6"/>
        <v>183.8598015861165</v>
      </c>
      <c r="N14" s="153"/>
      <c r="O14" s="153"/>
      <c r="P14" s="153"/>
      <c r="Q14" s="153"/>
      <c r="S14" s="153"/>
      <c r="T14" s="153"/>
      <c r="U14" s="153"/>
    </row>
    <row r="15" spans="1:34" s="154" customFormat="1" ht="15" customHeight="1" x14ac:dyDescent="0.25">
      <c r="A15" s="159">
        <f>'Ex 1 HDD'!A15</f>
        <v>42736</v>
      </c>
      <c r="B15" s="160">
        <f>'Company Nom Groups'!BL105</f>
        <v>5410.81</v>
      </c>
      <c r="C15" s="161">
        <f>'Company Nom Groups'!I105</f>
        <v>5610.8419172912836</v>
      </c>
      <c r="D15" s="220">
        <f>'Company Nom Groups'!I109</f>
        <v>5610.8418999999994</v>
      </c>
      <c r="E15" s="170">
        <f t="shared" si="0"/>
        <v>-1.7291284166276455E-5</v>
      </c>
      <c r="F15" s="170">
        <f t="shared" si="1"/>
        <v>-5.763761388758819E-4</v>
      </c>
      <c r="G15" s="170"/>
      <c r="H15" s="160">
        <f t="shared" si="2"/>
        <v>45641.56</v>
      </c>
      <c r="I15" s="160">
        <f t="shared" si="3"/>
        <v>43339.522187396884</v>
      </c>
      <c r="J15" s="160"/>
      <c r="K15" s="162">
        <f t="shared" si="4"/>
        <v>31</v>
      </c>
      <c r="L15" s="163">
        <f t="shared" si="5"/>
        <v>5610.8419172912836</v>
      </c>
      <c r="M15" s="163">
        <f t="shared" si="6"/>
        <v>180.99490055778335</v>
      </c>
      <c r="N15" s="153"/>
      <c r="O15" s="153"/>
      <c r="P15" s="153"/>
      <c r="Q15" s="153"/>
      <c r="S15" s="153"/>
      <c r="T15" s="153"/>
      <c r="U15" s="153"/>
    </row>
    <row r="16" spans="1:34" s="154" customFormat="1" ht="15" customHeight="1" x14ac:dyDescent="0.25">
      <c r="A16" s="159">
        <f>'Ex 1 HDD'!A16</f>
        <v>42767</v>
      </c>
      <c r="B16" s="160">
        <f>'Company Nom Groups'!BP105</f>
        <v>4947.4699999999975</v>
      </c>
      <c r="C16" s="161">
        <f>'Company Nom Groups'!J105</f>
        <v>4965.6348265111446</v>
      </c>
      <c r="D16" s="220">
        <f>'Company Nom Groups'!J109</f>
        <v>4965.6347999999998</v>
      </c>
      <c r="E16" s="170">
        <f t="shared" si="0"/>
        <v>-2.6511144824326038E-5</v>
      </c>
      <c r="F16" s="170">
        <f t="shared" si="1"/>
        <v>-8.8370482747753454E-4</v>
      </c>
      <c r="G16" s="170"/>
      <c r="H16" s="160">
        <f t="shared" si="2"/>
        <v>50589.03</v>
      </c>
      <c r="I16" s="160">
        <f t="shared" si="3"/>
        <v>48305.157013908029</v>
      </c>
      <c r="J16" s="160"/>
      <c r="K16" s="162">
        <f t="shared" si="4"/>
        <v>28</v>
      </c>
      <c r="L16" s="163">
        <f t="shared" si="5"/>
        <v>4965.6348265111446</v>
      </c>
      <c r="M16" s="163">
        <f t="shared" si="6"/>
        <v>177.34410094682659</v>
      </c>
      <c r="N16" s="153"/>
      <c r="O16" s="153"/>
      <c r="P16" s="153"/>
      <c r="Q16" s="153"/>
      <c r="S16" s="153"/>
      <c r="T16" s="153"/>
      <c r="U16" s="153"/>
    </row>
    <row r="17" spans="1:21" s="154" customFormat="1" ht="15" customHeight="1" x14ac:dyDescent="0.25">
      <c r="A17" s="159">
        <f>'Ex 1 HDD'!A17</f>
        <v>42795</v>
      </c>
      <c r="B17" s="160">
        <v>0</v>
      </c>
      <c r="C17" s="161">
        <f>'Company Nom Groups'!K105</f>
        <v>5392.7383650690317</v>
      </c>
      <c r="D17" s="220">
        <f>'Company Nom Groups'!K109</f>
        <v>5392.7383000000009</v>
      </c>
      <c r="E17" s="170">
        <f t="shared" si="0"/>
        <v>-6.5069030824815854E-5</v>
      </c>
      <c r="F17" s="170">
        <f t="shared" si="1"/>
        <v>-2.1689676941605285E-3</v>
      </c>
      <c r="G17" s="147"/>
      <c r="H17" s="160">
        <f t="shared" si="2"/>
        <v>50589.03</v>
      </c>
      <c r="I17" s="160">
        <f t="shared" si="3"/>
        <v>53697.89537897706</v>
      </c>
      <c r="J17" s="160"/>
      <c r="K17" s="162">
        <f t="shared" si="4"/>
        <v>31</v>
      </c>
      <c r="L17" s="163">
        <f t="shared" si="5"/>
        <v>5392.7383650690317</v>
      </c>
      <c r="M17" s="163">
        <f t="shared" si="6"/>
        <v>173.95930209900104</v>
      </c>
      <c r="N17" s="153"/>
      <c r="O17" s="153"/>
      <c r="P17" s="153"/>
      <c r="Q17" s="153"/>
      <c r="S17" s="153"/>
      <c r="T17" s="153"/>
      <c r="U17" s="153"/>
    </row>
    <row r="18" spans="1:21" s="154" customFormat="1" ht="15" customHeight="1" x14ac:dyDescent="0.25">
      <c r="A18" s="159">
        <f>'Ex 1 HDD'!A18</f>
        <v>42826</v>
      </c>
      <c r="B18" s="160">
        <v>0</v>
      </c>
      <c r="C18" s="161">
        <f>'Company Nom Groups'!L105</f>
        <v>5127.018007054925</v>
      </c>
      <c r="D18" s="220">
        <f>'Company Nom Groups'!L109</f>
        <v>5127.0180000000018</v>
      </c>
      <c r="E18" s="170">
        <f t="shared" si="0"/>
        <v>-7.0549231168115512E-6</v>
      </c>
      <c r="F18" s="170">
        <f t="shared" si="1"/>
        <v>-2.3516410389371836E-4</v>
      </c>
      <c r="G18" s="147"/>
      <c r="H18" s="160">
        <f t="shared" si="2"/>
        <v>50589.03</v>
      </c>
      <c r="I18" s="160">
        <f t="shared" si="3"/>
        <v>58824.913386031985</v>
      </c>
      <c r="J18" s="160"/>
      <c r="K18" s="162">
        <f t="shared" si="4"/>
        <v>30</v>
      </c>
      <c r="L18" s="163">
        <f t="shared" si="5"/>
        <v>5127.018007054925</v>
      </c>
      <c r="M18" s="163">
        <f t="shared" si="6"/>
        <v>170.90060023516418</v>
      </c>
      <c r="N18" s="153"/>
      <c r="O18" s="153"/>
      <c r="P18" s="153"/>
      <c r="Q18" s="153"/>
      <c r="S18" s="153"/>
      <c r="T18" s="153"/>
      <c r="U18" s="153"/>
    </row>
    <row r="19" spans="1:21" s="154" customFormat="1" ht="15" customHeight="1" x14ac:dyDescent="0.25">
      <c r="A19" s="159">
        <f>'Ex 1 HDD'!A19</f>
        <v>42856</v>
      </c>
      <c r="B19" s="160">
        <v>0</v>
      </c>
      <c r="C19" s="161">
        <f>'Company Nom Groups'!M105</f>
        <v>5211.2646570360657</v>
      </c>
      <c r="D19" s="220">
        <f>'Company Nom Groups'!M109</f>
        <v>5211.2673999999997</v>
      </c>
      <c r="E19" s="170">
        <f t="shared" si="0"/>
        <v>2.742963933997089E-3</v>
      </c>
      <c r="F19" s="170">
        <f>(E19/30)*1000</f>
        <v>9.1432131133236297E-2</v>
      </c>
      <c r="G19" s="147"/>
      <c r="H19" s="160">
        <f t="shared" si="2"/>
        <v>50589.03</v>
      </c>
      <c r="I19" s="160">
        <f t="shared" si="3"/>
        <v>64036.178043068052</v>
      </c>
      <c r="J19" s="160"/>
      <c r="K19" s="162">
        <f t="shared" si="4"/>
        <v>31</v>
      </c>
      <c r="L19" s="163">
        <f t="shared" si="5"/>
        <v>5211.2646570360657</v>
      </c>
      <c r="M19" s="163">
        <f t="shared" si="6"/>
        <v>168.10531151729245</v>
      </c>
      <c r="N19" s="153"/>
      <c r="O19" s="153"/>
      <c r="P19" s="153"/>
      <c r="Q19" s="153"/>
      <c r="S19" s="153"/>
      <c r="T19" s="153"/>
      <c r="U19" s="153"/>
    </row>
    <row r="20" spans="1:21" s="154" customFormat="1" ht="15" customHeight="1" x14ac:dyDescent="0.25">
      <c r="A20" s="155"/>
      <c r="B20" s="155"/>
      <c r="C20" s="155"/>
      <c r="D20" s="155"/>
      <c r="E20" s="155"/>
      <c r="F20" s="155"/>
      <c r="G20" s="155"/>
      <c r="H20" s="155"/>
      <c r="I20" s="155"/>
      <c r="J20" s="155"/>
      <c r="K20" s="155"/>
      <c r="L20" s="155"/>
      <c r="M20" s="155"/>
      <c r="N20" s="155"/>
      <c r="O20" s="155"/>
      <c r="P20" s="155"/>
      <c r="Q20" s="155"/>
      <c r="S20" s="155"/>
      <c r="T20" s="155"/>
      <c r="U20" s="155"/>
    </row>
    <row r="21" spans="1:21" s="154" customFormat="1" ht="15" customHeight="1" x14ac:dyDescent="0.25">
      <c r="A21" s="155"/>
      <c r="B21" s="164"/>
      <c r="C21" s="164">
        <f>SUM(C8:C19)</f>
        <v>64036.178043068052</v>
      </c>
      <c r="D21" s="155"/>
      <c r="E21" s="155"/>
      <c r="F21" s="155"/>
      <c r="G21" s="155"/>
      <c r="H21" s="155"/>
      <c r="I21" s="155"/>
      <c r="J21" s="155"/>
      <c r="K21" s="155"/>
      <c r="L21" s="155"/>
      <c r="M21" s="155"/>
      <c r="N21" s="155"/>
      <c r="O21" s="155"/>
      <c r="P21" s="155"/>
      <c r="Q21" s="155"/>
      <c r="S21" s="155"/>
      <c r="T21" s="155"/>
      <c r="U21" s="155"/>
    </row>
    <row r="22" spans="1:21" s="154" customFormat="1" ht="15" customHeight="1" x14ac:dyDescent="0.25">
      <c r="A22" s="155"/>
      <c r="B22" s="164">
        <f>B16-B17</f>
        <v>4947.4699999999975</v>
      </c>
      <c r="C22" s="155"/>
      <c r="D22" s="155"/>
      <c r="E22" s="155"/>
      <c r="F22" s="155"/>
      <c r="G22" s="155"/>
      <c r="H22" s="155"/>
      <c r="I22" s="155"/>
      <c r="J22" s="155"/>
      <c r="K22" s="155"/>
      <c r="L22" s="155"/>
      <c r="M22" s="155"/>
      <c r="N22" s="155"/>
      <c r="O22" s="155"/>
      <c r="P22" s="155"/>
      <c r="Q22" s="155"/>
      <c r="S22" s="155"/>
      <c r="T22" s="155"/>
      <c r="U22" s="155"/>
    </row>
    <row r="23" spans="1:21" s="154" customFormat="1" ht="15" customHeight="1" x14ac:dyDescent="0.25">
      <c r="A23" s="155"/>
      <c r="B23" s="155"/>
      <c r="C23" s="155"/>
      <c r="D23" s="155"/>
      <c r="E23" s="155"/>
      <c r="F23" s="155"/>
      <c r="G23" s="155"/>
      <c r="H23" s="155"/>
      <c r="I23" s="155"/>
      <c r="J23" s="155"/>
      <c r="K23" s="155"/>
      <c r="L23" s="155"/>
      <c r="M23" s="155"/>
      <c r="N23" s="155"/>
      <c r="O23" s="155"/>
      <c r="P23" s="155"/>
      <c r="Q23" s="155"/>
    </row>
    <row r="24" spans="1:21" s="154" customFormat="1" ht="15" customHeight="1" x14ac:dyDescent="0.25">
      <c r="A24" s="155"/>
      <c r="B24" s="155"/>
      <c r="C24" s="155"/>
      <c r="D24" s="155"/>
      <c r="E24" s="155"/>
      <c r="F24" s="155"/>
      <c r="G24" s="155"/>
      <c r="H24" s="155"/>
      <c r="I24" s="155"/>
      <c r="J24" s="155"/>
      <c r="K24" s="155"/>
      <c r="L24" s="155"/>
      <c r="M24" s="155"/>
      <c r="N24" s="155"/>
      <c r="O24" s="155"/>
      <c r="P24" s="155"/>
      <c r="Q24" s="155"/>
    </row>
    <row r="25" spans="1:21" s="154" customFormat="1" ht="15" customHeight="1" x14ac:dyDescent="0.25">
      <c r="A25" s="155"/>
      <c r="B25" s="155"/>
      <c r="C25" s="155"/>
      <c r="D25" s="155"/>
      <c r="E25" s="155"/>
      <c r="F25" s="155"/>
      <c r="G25" s="155"/>
      <c r="H25" s="155"/>
      <c r="I25" s="155"/>
      <c r="J25" s="155"/>
      <c r="K25" s="155"/>
      <c r="L25" s="155"/>
      <c r="M25" s="155"/>
      <c r="N25" s="155"/>
      <c r="O25" s="155"/>
      <c r="P25" s="155"/>
      <c r="Q25" s="155"/>
      <c r="R25" s="155"/>
    </row>
    <row r="26" spans="1:21" s="154" customFormat="1" ht="15" customHeight="1" x14ac:dyDescent="0.25">
      <c r="A26" s="155"/>
      <c r="B26" s="155"/>
      <c r="C26" s="155"/>
      <c r="D26" s="155"/>
      <c r="E26" s="155"/>
      <c r="F26" s="155"/>
      <c r="G26" s="155"/>
      <c r="H26" s="165"/>
      <c r="I26" s="165"/>
      <c r="J26" s="165"/>
      <c r="K26" s="155"/>
      <c r="L26" s="155"/>
      <c r="M26" s="155"/>
      <c r="N26" s="155"/>
      <c r="O26" s="155"/>
      <c r="P26" s="155"/>
      <c r="Q26" s="155"/>
      <c r="R26" s="155"/>
    </row>
    <row r="27" spans="1:21" s="154" customFormat="1" ht="15" customHeight="1" x14ac:dyDescent="0.25">
      <c r="A27" s="166"/>
      <c r="B27" s="166"/>
      <c r="C27" s="166"/>
      <c r="D27" s="167"/>
      <c r="E27" s="167"/>
      <c r="F27" s="167"/>
      <c r="G27" s="167"/>
      <c r="H27" s="166"/>
      <c r="I27" s="166"/>
      <c r="J27" s="166"/>
      <c r="K27" s="167"/>
      <c r="L27" s="167"/>
      <c r="M27" s="167"/>
      <c r="N27" s="167"/>
      <c r="O27" s="155"/>
      <c r="P27" s="155"/>
      <c r="Q27" s="155"/>
      <c r="R27" s="155"/>
    </row>
    <row r="28" spans="1:21" s="154" customFormat="1" ht="15" customHeight="1" x14ac:dyDescent="0.25">
      <c r="A28" s="108"/>
      <c r="B28" s="108"/>
      <c r="C28" s="108"/>
      <c r="D28" s="108"/>
      <c r="E28" s="108"/>
      <c r="F28" s="108"/>
      <c r="G28" s="108"/>
      <c r="H28" s="108"/>
      <c r="I28" s="108"/>
      <c r="J28" s="108"/>
      <c r="K28" s="108"/>
      <c r="L28" s="108"/>
      <c r="M28" s="108"/>
      <c r="N28" s="108"/>
      <c r="O28" s="155"/>
      <c r="P28" s="155"/>
      <c r="Q28" s="155"/>
      <c r="R28" s="155"/>
    </row>
    <row r="29" spans="1:21" s="154" customFormat="1" ht="15" customHeight="1" x14ac:dyDescent="0.25">
      <c r="A29" s="108"/>
      <c r="B29" s="108"/>
      <c r="C29" s="108"/>
      <c r="D29" s="108"/>
      <c r="E29" s="108"/>
      <c r="F29" s="108"/>
      <c r="G29" s="108"/>
      <c r="H29" s="108"/>
      <c r="I29" s="108"/>
      <c r="J29" s="108"/>
      <c r="K29" s="108"/>
      <c r="L29" s="108"/>
      <c r="M29" s="108"/>
      <c r="N29" s="108"/>
      <c r="O29" s="155"/>
      <c r="P29" s="155"/>
      <c r="Q29" s="155"/>
      <c r="R29" s="155"/>
    </row>
    <row r="30" spans="1:21" s="154" customFormat="1" ht="15" customHeight="1" x14ac:dyDescent="0.25">
      <c r="A30" s="108"/>
      <c r="B30" s="108"/>
      <c r="C30" s="108"/>
      <c r="H30" s="108"/>
      <c r="I30" s="108"/>
      <c r="J30" s="108"/>
      <c r="K30" s="108"/>
      <c r="L30" s="108"/>
      <c r="M30" s="108"/>
      <c r="N30" s="108"/>
      <c r="O30" s="155"/>
      <c r="P30" s="155"/>
      <c r="Q30" s="155"/>
      <c r="R30" s="155"/>
    </row>
    <row r="31" spans="1:21" s="154" customFormat="1" ht="15" customHeight="1" x14ac:dyDescent="0.25">
      <c r="A31" s="108"/>
      <c r="B31" s="108"/>
      <c r="C31" s="108"/>
      <c r="H31" s="108"/>
      <c r="I31" s="108"/>
      <c r="J31" s="108"/>
      <c r="K31" s="108"/>
      <c r="L31" s="108"/>
      <c r="M31" s="108"/>
      <c r="N31" s="108"/>
      <c r="O31" s="155"/>
      <c r="P31" s="155"/>
      <c r="Q31" s="155"/>
      <c r="R31" s="155"/>
    </row>
    <row r="32" spans="1:21" s="154" customFormat="1" ht="15" customHeight="1" x14ac:dyDescent="0.25">
      <c r="A32" s="103"/>
      <c r="B32" s="103"/>
      <c r="C32" s="103"/>
      <c r="H32" s="103"/>
      <c r="I32" s="103"/>
      <c r="J32" s="103"/>
      <c r="K32" s="103"/>
      <c r="L32" s="103"/>
      <c r="M32" s="103"/>
      <c r="N32" s="103"/>
      <c r="O32" s="155"/>
      <c r="P32" s="155"/>
      <c r="Q32" s="155"/>
      <c r="R32" s="155"/>
    </row>
    <row r="33" spans="1:18" s="154" customFormat="1" ht="15" customHeight="1" x14ac:dyDescent="0.25">
      <c r="A33" s="104"/>
      <c r="B33" s="104"/>
      <c r="C33" s="104"/>
      <c r="H33" s="105"/>
      <c r="I33" s="105"/>
      <c r="J33" s="105"/>
      <c r="K33" s="105"/>
      <c r="L33" s="105"/>
      <c r="M33" s="105"/>
      <c r="N33" s="105"/>
      <c r="O33" s="155"/>
      <c r="P33" s="155"/>
      <c r="Q33" s="155"/>
      <c r="R33" s="155"/>
    </row>
    <row r="34" spans="1:18" s="154" customFormat="1" ht="15" customHeight="1" x14ac:dyDescent="0.25">
      <c r="A34" s="104"/>
      <c r="B34" s="104"/>
      <c r="C34" s="104"/>
      <c r="H34" s="103"/>
      <c r="I34" s="103"/>
      <c r="J34" s="103"/>
      <c r="K34" s="103"/>
      <c r="L34" s="103"/>
      <c r="M34" s="103"/>
      <c r="N34" s="103"/>
      <c r="O34" s="155"/>
      <c r="P34" s="155"/>
      <c r="Q34" s="155"/>
    </row>
    <row r="35" spans="1:18" s="154" customFormat="1" ht="15" customHeight="1" x14ac:dyDescent="0.25">
      <c r="A35" s="104"/>
      <c r="B35" s="104"/>
      <c r="C35" s="104"/>
      <c r="H35" s="103"/>
      <c r="I35" s="103"/>
      <c r="J35" s="103"/>
      <c r="K35" s="103"/>
      <c r="L35" s="103"/>
      <c r="M35" s="103"/>
      <c r="N35" s="103"/>
      <c r="O35" s="155"/>
      <c r="P35" s="155"/>
      <c r="Q35" s="155"/>
    </row>
    <row r="36" spans="1:18" s="154" customFormat="1" ht="15" customHeight="1" x14ac:dyDescent="0.25">
      <c r="A36" s="104"/>
      <c r="B36" s="104"/>
      <c r="C36" s="104"/>
      <c r="H36" s="106"/>
      <c r="I36" s="106"/>
      <c r="J36" s="106"/>
      <c r="K36" s="106"/>
      <c r="L36" s="106"/>
      <c r="M36" s="106"/>
      <c r="N36" s="106"/>
      <c r="O36" s="155"/>
      <c r="P36" s="155"/>
      <c r="Q36" s="155"/>
      <c r="R36" s="155"/>
    </row>
    <row r="37" spans="1:18" s="154" customFormat="1" ht="15" customHeight="1" x14ac:dyDescent="0.25">
      <c r="A37" s="104"/>
      <c r="B37" s="104"/>
      <c r="C37" s="104"/>
      <c r="H37" s="106"/>
      <c r="I37" s="106"/>
      <c r="J37" s="106"/>
      <c r="K37" s="106"/>
      <c r="L37" s="106"/>
      <c r="M37" s="106"/>
      <c r="N37" s="106"/>
      <c r="O37" s="155"/>
      <c r="P37" s="155"/>
      <c r="Q37" s="155"/>
      <c r="R37" s="155"/>
    </row>
    <row r="38" spans="1:18" s="154" customFormat="1" ht="15" customHeight="1" x14ac:dyDescent="0.25">
      <c r="A38" s="104"/>
      <c r="B38" s="104"/>
      <c r="C38" s="104"/>
      <c r="H38" s="106"/>
      <c r="I38" s="106"/>
      <c r="J38" s="106"/>
      <c r="K38" s="106"/>
      <c r="L38" s="106"/>
      <c r="M38" s="106"/>
      <c r="N38" s="106"/>
      <c r="O38" s="155"/>
      <c r="P38" s="155"/>
      <c r="Q38" s="155"/>
      <c r="R38" s="155"/>
    </row>
    <row r="39" spans="1:18" s="154" customFormat="1" ht="15" customHeight="1" x14ac:dyDescent="0.25">
      <c r="A39" s="104"/>
      <c r="B39" s="104"/>
      <c r="C39" s="104"/>
      <c r="H39" s="106"/>
      <c r="I39" s="106"/>
      <c r="J39" s="106"/>
      <c r="K39" s="106"/>
      <c r="L39" s="106"/>
      <c r="M39" s="106"/>
      <c r="N39" s="106"/>
      <c r="O39" s="155"/>
      <c r="P39" s="155"/>
      <c r="Q39" s="155"/>
      <c r="R39" s="155"/>
    </row>
    <row r="40" spans="1:18" s="154" customFormat="1" ht="15" customHeight="1" x14ac:dyDescent="0.25">
      <c r="A40" s="104"/>
      <c r="B40" s="104"/>
      <c r="C40" s="104"/>
      <c r="H40" s="106"/>
      <c r="I40" s="106"/>
      <c r="J40" s="106"/>
      <c r="K40" s="106"/>
      <c r="L40" s="106"/>
      <c r="M40" s="106"/>
      <c r="N40" s="106"/>
      <c r="O40" s="155"/>
      <c r="P40" s="155"/>
      <c r="Q40" s="155"/>
      <c r="R40" s="155"/>
    </row>
    <row r="41" spans="1:18" s="154" customFormat="1" ht="15" customHeight="1" x14ac:dyDescent="0.25">
      <c r="A41" s="104"/>
      <c r="B41" s="104"/>
      <c r="C41" s="104"/>
      <c r="H41" s="106"/>
      <c r="I41" s="106"/>
      <c r="J41" s="106"/>
      <c r="K41" s="106"/>
      <c r="L41" s="106"/>
      <c r="M41" s="106"/>
      <c r="N41" s="106"/>
      <c r="O41" s="155"/>
      <c r="P41" s="155"/>
      <c r="Q41" s="155"/>
      <c r="R41" s="155"/>
    </row>
    <row r="42" spans="1:18" s="154" customFormat="1" ht="15" customHeight="1" x14ac:dyDescent="0.25">
      <c r="A42" s="104"/>
      <c r="B42" s="104"/>
      <c r="C42" s="104"/>
      <c r="D42" s="106"/>
      <c r="E42" s="106"/>
      <c r="F42" s="106"/>
      <c r="G42" s="106"/>
      <c r="H42" s="106"/>
      <c r="I42" s="106"/>
      <c r="J42" s="106"/>
      <c r="K42" s="106"/>
      <c r="L42" s="106"/>
      <c r="M42" s="106"/>
      <c r="N42" s="106"/>
      <c r="O42" s="155"/>
      <c r="P42" s="155"/>
      <c r="Q42" s="155"/>
      <c r="R42" s="155"/>
    </row>
    <row r="43" spans="1:18" s="154" customFormat="1" ht="15" customHeight="1" x14ac:dyDescent="0.25">
      <c r="A43" s="104"/>
      <c r="B43" s="104"/>
      <c r="C43" s="104"/>
      <c r="D43" s="106"/>
      <c r="E43" s="106"/>
      <c r="F43" s="106"/>
      <c r="G43" s="106"/>
      <c r="H43" s="106"/>
      <c r="I43" s="106"/>
      <c r="J43" s="106"/>
      <c r="K43" s="106"/>
      <c r="L43" s="106"/>
      <c r="M43" s="106"/>
      <c r="N43" s="106"/>
      <c r="O43" s="155"/>
      <c r="P43" s="155"/>
      <c r="Q43" s="155"/>
      <c r="R43" s="155"/>
    </row>
    <row r="44" spans="1:18" s="154" customFormat="1" ht="15" customHeight="1" x14ac:dyDescent="0.25">
      <c r="A44" s="104"/>
      <c r="B44" s="104"/>
      <c r="C44" s="104"/>
      <c r="D44" s="106"/>
      <c r="E44" s="106"/>
      <c r="F44" s="106"/>
      <c r="G44" s="106"/>
      <c r="H44" s="106"/>
      <c r="I44" s="106"/>
      <c r="J44" s="106"/>
      <c r="K44" s="106"/>
      <c r="L44" s="106"/>
      <c r="M44" s="106"/>
      <c r="N44" s="106"/>
      <c r="O44" s="155"/>
      <c r="P44" s="155"/>
      <c r="Q44" s="155"/>
      <c r="R44" s="155"/>
    </row>
    <row r="45" spans="1:18" s="154" customFormat="1" ht="15" customHeight="1" x14ac:dyDescent="0.25">
      <c r="A45" s="104"/>
      <c r="B45" s="104"/>
      <c r="C45" s="104"/>
      <c r="D45" s="106"/>
      <c r="E45" s="106"/>
      <c r="F45" s="106"/>
      <c r="G45" s="106"/>
      <c r="H45" s="106"/>
      <c r="I45" s="106"/>
      <c r="J45" s="106"/>
      <c r="K45" s="106"/>
      <c r="L45" s="106"/>
      <c r="M45" s="106"/>
      <c r="N45" s="106"/>
      <c r="O45" s="155"/>
      <c r="P45" s="155"/>
      <c r="Q45" s="155"/>
      <c r="R45" s="155"/>
    </row>
    <row r="46" spans="1:18" s="154" customFormat="1" ht="15" customHeight="1" x14ac:dyDescent="0.25">
      <c r="A46" s="104"/>
      <c r="B46" s="104"/>
      <c r="C46" s="104"/>
      <c r="D46" s="106"/>
      <c r="E46" s="106"/>
      <c r="F46" s="106"/>
      <c r="G46" s="106"/>
      <c r="H46" s="106"/>
      <c r="I46" s="106"/>
      <c r="J46" s="106"/>
      <c r="K46" s="106"/>
      <c r="L46" s="106"/>
      <c r="M46" s="106"/>
      <c r="N46" s="106"/>
      <c r="O46" s="155"/>
      <c r="P46" s="155"/>
      <c r="Q46" s="155"/>
      <c r="R46" s="155"/>
    </row>
    <row r="47" spans="1:18" s="154" customFormat="1" ht="15" customHeight="1" x14ac:dyDescent="0.25">
      <c r="A47" s="104"/>
      <c r="B47" s="104"/>
      <c r="C47" s="104"/>
      <c r="D47" s="106"/>
      <c r="E47" s="106"/>
      <c r="F47" s="106"/>
      <c r="G47" s="106"/>
      <c r="H47" s="106"/>
      <c r="I47" s="106"/>
      <c r="J47" s="106"/>
      <c r="K47" s="106"/>
      <c r="L47" s="106"/>
      <c r="M47" s="106"/>
      <c r="N47" s="106"/>
      <c r="O47" s="155"/>
      <c r="P47" s="155"/>
      <c r="Q47" s="155"/>
      <c r="R47" s="155"/>
    </row>
    <row r="48" spans="1:18" s="154" customFormat="1" ht="15" customHeight="1" x14ac:dyDescent="0.25">
      <c r="A48" s="103"/>
      <c r="B48" s="103"/>
      <c r="C48" s="103"/>
      <c r="D48" s="103"/>
      <c r="E48" s="103"/>
      <c r="F48" s="103"/>
      <c r="G48" s="103"/>
      <c r="H48" s="103"/>
      <c r="I48" s="103"/>
      <c r="J48" s="103"/>
      <c r="K48" s="103"/>
      <c r="L48" s="103"/>
      <c r="M48" s="103"/>
      <c r="N48" s="103"/>
      <c r="O48" s="155"/>
      <c r="P48" s="155"/>
      <c r="Q48" s="155"/>
      <c r="R48" s="155"/>
    </row>
    <row r="49" spans="1:14" s="154" customFormat="1" ht="15" customHeight="1" x14ac:dyDescent="0.25">
      <c r="A49" s="167"/>
      <c r="B49" s="167"/>
      <c r="C49" s="167"/>
      <c r="D49" s="167"/>
      <c r="E49" s="167"/>
      <c r="F49" s="167"/>
      <c r="G49" s="167"/>
      <c r="H49" s="167"/>
      <c r="I49" s="167"/>
      <c r="J49" s="167"/>
      <c r="K49" s="167"/>
      <c r="L49" s="167"/>
      <c r="M49" s="167"/>
      <c r="N49" s="167"/>
    </row>
    <row r="50" spans="1:14" s="154" customFormat="1" ht="15" customHeight="1" x14ac:dyDescent="0.25">
      <c r="A50" s="167"/>
      <c r="B50" s="167"/>
      <c r="C50" s="167"/>
      <c r="D50" s="167"/>
      <c r="E50" s="167"/>
      <c r="F50" s="167"/>
      <c r="G50" s="167"/>
      <c r="H50" s="168"/>
      <c r="I50" s="168"/>
      <c r="J50" s="168"/>
      <c r="K50" s="168"/>
      <c r="L50" s="168"/>
      <c r="M50" s="168"/>
      <c r="N50" s="168"/>
    </row>
    <row r="51" spans="1:14" s="154" customFormat="1" ht="15" customHeight="1" x14ac:dyDescent="0.25">
      <c r="A51" s="167"/>
      <c r="B51" s="167"/>
      <c r="C51" s="167"/>
      <c r="D51" s="167"/>
      <c r="E51" s="167"/>
      <c r="F51" s="167"/>
      <c r="G51" s="167"/>
      <c r="H51" s="168"/>
      <c r="I51" s="168"/>
      <c r="J51" s="168"/>
      <c r="K51" s="168"/>
      <c r="L51" s="168"/>
      <c r="M51" s="168"/>
      <c r="N51" s="168"/>
    </row>
    <row r="52" spans="1:14" s="154" customFormat="1" ht="15" customHeight="1" x14ac:dyDescent="0.25">
      <c r="A52" s="167"/>
      <c r="B52" s="167"/>
      <c r="C52" s="167"/>
      <c r="D52" s="167"/>
      <c r="E52" s="167"/>
      <c r="F52" s="167"/>
      <c r="G52" s="167"/>
      <c r="H52" s="168"/>
      <c r="I52" s="168"/>
      <c r="J52" s="168"/>
      <c r="K52" s="168"/>
      <c r="L52" s="168"/>
      <c r="M52" s="168"/>
      <c r="N52" s="168"/>
    </row>
    <row r="53" spans="1:14" ht="14.25" customHeight="1" x14ac:dyDescent="0.2">
      <c r="A53" s="62"/>
      <c r="B53" s="62"/>
      <c r="C53" s="62"/>
      <c r="D53" s="62"/>
      <c r="E53" s="62"/>
      <c r="F53" s="62"/>
      <c r="G53" s="62"/>
      <c r="H53" s="107"/>
      <c r="I53" s="107"/>
      <c r="J53" s="107"/>
      <c r="K53" s="107"/>
      <c r="L53" s="107"/>
      <c r="M53" s="107"/>
      <c r="N53" s="107"/>
    </row>
    <row r="54" spans="1:14" ht="14.25" customHeight="1" x14ac:dyDescent="0.2">
      <c r="A54" s="62"/>
      <c r="B54" s="62"/>
      <c r="C54" s="62"/>
      <c r="D54" s="62"/>
      <c r="E54" s="62"/>
      <c r="F54" s="62"/>
      <c r="G54" s="62"/>
      <c r="H54" s="62"/>
      <c r="I54" s="62"/>
      <c r="J54" s="62"/>
      <c r="K54" s="62"/>
      <c r="L54" s="62"/>
      <c r="M54" s="62"/>
      <c r="N54" s="62"/>
    </row>
    <row r="55" spans="1:14" ht="14.25" customHeight="1" x14ac:dyDescent="0.2">
      <c r="A55" s="62"/>
      <c r="B55" s="62"/>
      <c r="C55" s="62"/>
      <c r="D55" s="62"/>
      <c r="E55" s="62"/>
      <c r="F55" s="62"/>
      <c r="G55" s="62"/>
      <c r="H55" s="62"/>
      <c r="I55" s="62"/>
      <c r="J55" s="62"/>
      <c r="K55" s="62"/>
      <c r="L55" s="62"/>
      <c r="M55" s="62"/>
      <c r="N55" s="62"/>
    </row>
  </sheetData>
  <mergeCells count="4">
    <mergeCell ref="A1:H1"/>
    <mergeCell ref="O3:T3"/>
    <mergeCell ref="A3:M3"/>
    <mergeCell ref="A2:H2"/>
  </mergeCells>
  <phoneticPr fontId="23" type="noConversion"/>
  <pageMargins left="0.75" right="0.75" top="1" bottom="1" header="0.5" footer="0.5"/>
  <pageSetup orientation="portrait" r:id="rId1"/>
  <headerFooter alignWithMargins="0"/>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O29:Q33"/>
  <sheetViews>
    <sheetView topLeftCell="A13" workbookViewId="0">
      <selection activeCell="O31" sqref="O31"/>
    </sheetView>
  </sheetViews>
  <sheetFormatPr defaultRowHeight="12.75" x14ac:dyDescent="0.2"/>
  <cols>
    <col min="1" max="14" width="8.28515625" customWidth="1"/>
    <col min="15" max="17" width="2.85546875" customWidth="1"/>
  </cols>
  <sheetData>
    <row r="29" spans="15:17" ht="4.5" customHeight="1" x14ac:dyDescent="0.2"/>
    <row r="32" spans="15:17" ht="106.5" customHeight="1" x14ac:dyDescent="0.2">
      <c r="O32" s="110" t="str">
        <f>'Exhibit 1.1'!O31</f>
        <v>DEU Variance Exhibit</v>
      </c>
      <c r="P32" s="110" t="str">
        <f>'Exhibit 1.1'!P31</f>
        <v>Docket No. 16-057-08</v>
      </c>
      <c r="Q32" s="110" t="str">
        <f>'Exhibit 1.1'!Q31</f>
        <v>Dominion Energy Utah</v>
      </c>
    </row>
    <row r="33" spans="15:17" s="22" customFormat="1" ht="21" customHeight="1" x14ac:dyDescent="0.2">
      <c r="O33" s="112">
        <v>7.1</v>
      </c>
      <c r="P33" s="112"/>
      <c r="Q33" s="112"/>
    </row>
  </sheetData>
  <printOptions horizontalCentered="1" verticalCentered="1"/>
  <pageMargins left="0.7" right="0.7" top="0.75" bottom="0.75" header="0.3" footer="0.3"/>
  <pageSetup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O31:Q32"/>
  <sheetViews>
    <sheetView topLeftCell="A13" workbookViewId="0">
      <selection activeCell="O31" sqref="O31"/>
    </sheetView>
  </sheetViews>
  <sheetFormatPr defaultRowHeight="12.75" x14ac:dyDescent="0.2"/>
  <cols>
    <col min="1" max="14" width="8.28515625" customWidth="1"/>
    <col min="15" max="17" width="2.85546875" customWidth="1"/>
  </cols>
  <sheetData>
    <row r="31" spans="15:17" ht="111" customHeight="1" x14ac:dyDescent="0.2">
      <c r="O31" s="110" t="str">
        <f>'Exhibit 1.1'!O31</f>
        <v>DEU Variance Exhibit</v>
      </c>
      <c r="P31" s="110" t="str">
        <f>'Exhibit 1.1'!P31</f>
        <v>Docket No. 16-057-08</v>
      </c>
      <c r="Q31" s="110" t="str">
        <f>'Exhibit 1.1'!Q31</f>
        <v>Dominion Energy Utah</v>
      </c>
    </row>
    <row r="32" spans="15:17" ht="21.75" customHeight="1" x14ac:dyDescent="0.2">
      <c r="O32" s="112">
        <v>7.2</v>
      </c>
      <c r="P32" s="109"/>
      <c r="Q32" s="109"/>
    </row>
  </sheetData>
  <printOptions horizontalCentered="1" verticalCentered="1"/>
  <pageMargins left="0.7" right="0.7" top="0.75" bottom="0.75" header="0.3" footer="0.3"/>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O1:Q32"/>
  <sheetViews>
    <sheetView topLeftCell="A16" workbookViewId="0">
      <selection activeCell="O31" sqref="O31"/>
    </sheetView>
  </sheetViews>
  <sheetFormatPr defaultRowHeight="12.75" x14ac:dyDescent="0.2"/>
  <cols>
    <col min="1" max="14" width="8.28515625" customWidth="1"/>
    <col min="15" max="17" width="2.5703125" customWidth="1"/>
  </cols>
  <sheetData>
    <row r="1" ht="15.75" customHeight="1" x14ac:dyDescent="0.2"/>
    <row r="21" spans="15:17" ht="2.25" customHeight="1" x14ac:dyDescent="0.2"/>
    <row r="31" spans="15:17" ht="110.25" customHeight="1" x14ac:dyDescent="0.2">
      <c r="O31" s="137" t="s">
        <v>297</v>
      </c>
      <c r="P31" s="137" t="str">
        <f>'Ex 1 HDD'!I1</f>
        <v>Docket No. 16-057-08</v>
      </c>
      <c r="Q31" s="137" t="s">
        <v>296</v>
      </c>
    </row>
    <row r="32" spans="15:17" ht="22.5" customHeight="1" x14ac:dyDescent="0.2">
      <c r="O32" s="112">
        <v>1.2</v>
      </c>
    </row>
  </sheetData>
  <printOptions horizontalCentered="1" verticalCentered="1"/>
  <pageMargins left="0.7" right="0.7" top="0.75" bottom="0.75" header="0.3" footer="0.3"/>
  <pageSetup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O31:Q32"/>
  <sheetViews>
    <sheetView workbookViewId="0">
      <selection activeCell="O31" sqref="O31"/>
    </sheetView>
  </sheetViews>
  <sheetFormatPr defaultRowHeight="12.75" x14ac:dyDescent="0.2"/>
  <cols>
    <col min="1" max="14" width="8.28515625" customWidth="1"/>
    <col min="15" max="17" width="2.85546875" style="110" customWidth="1"/>
  </cols>
  <sheetData>
    <row r="31" spans="15:17" ht="109.5" customHeight="1" x14ac:dyDescent="0.2">
      <c r="O31" s="110" t="str">
        <f>'Exhibit 1.1'!O31</f>
        <v>DEU Variance Exhibit</v>
      </c>
      <c r="P31" s="110" t="str">
        <f>'Exhibit 1.1'!P31</f>
        <v>Docket No. 16-057-08</v>
      </c>
      <c r="Q31" s="110" t="str">
        <f>'Exhibit 1.1'!Q31</f>
        <v>Dominion Energy Utah</v>
      </c>
    </row>
    <row r="32" spans="15:17" ht="22.5" customHeight="1" x14ac:dyDescent="0.2">
      <c r="O32" s="112">
        <v>7.3</v>
      </c>
    </row>
  </sheetData>
  <printOptions horizontalCentered="1" verticalCentered="1"/>
  <pageMargins left="0.7" right="0.7" top="0.75" bottom="0.75" header="0.3" footer="0.3"/>
  <pageSetup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N53"/>
  <sheetViews>
    <sheetView zoomScale="90" zoomScaleNormal="90" workbookViewId="0">
      <selection activeCell="A6" sqref="A6:M6"/>
    </sheetView>
  </sheetViews>
  <sheetFormatPr defaultRowHeight="12.75" x14ac:dyDescent="0.2"/>
  <cols>
    <col min="1" max="1" width="7.28515625" customWidth="1"/>
    <col min="8" max="13" width="9.42578125" customWidth="1"/>
  </cols>
  <sheetData>
    <row r="1" spans="1:13" x14ac:dyDescent="0.2">
      <c r="A1" s="442" t="s">
        <v>17</v>
      </c>
      <c r="B1" s="442"/>
      <c r="C1" s="442"/>
      <c r="D1" s="442"/>
      <c r="E1" s="442"/>
      <c r="F1" s="442"/>
      <c r="G1" s="442"/>
      <c r="H1" s="442"/>
      <c r="I1" s="442"/>
      <c r="J1" s="442"/>
      <c r="K1" s="172"/>
    </row>
    <row r="2" spans="1:13" x14ac:dyDescent="0.2">
      <c r="A2" s="442" t="s">
        <v>65</v>
      </c>
      <c r="B2" s="442"/>
      <c r="C2" s="442"/>
      <c r="D2" s="442"/>
      <c r="E2" s="442"/>
      <c r="F2" s="442"/>
      <c r="G2" s="442"/>
      <c r="H2" s="442"/>
      <c r="I2" s="442"/>
      <c r="J2" s="442"/>
      <c r="K2" s="172"/>
    </row>
    <row r="3" spans="1:13" s="33" customFormat="1" ht="51" customHeight="1" x14ac:dyDescent="0.2">
      <c r="A3" s="443" t="s">
        <v>302</v>
      </c>
      <c r="B3" s="443"/>
      <c r="C3" s="443"/>
      <c r="D3" s="443"/>
      <c r="E3" s="443"/>
      <c r="F3" s="443"/>
      <c r="G3" s="443"/>
      <c r="H3" s="443"/>
      <c r="I3" s="443"/>
      <c r="J3" s="443"/>
      <c r="K3" s="173"/>
      <c r="M3" s="34"/>
    </row>
    <row r="4" spans="1:13" x14ac:dyDescent="0.2">
      <c r="J4" s="179"/>
      <c r="K4" s="180"/>
    </row>
    <row r="5" spans="1:13" x14ac:dyDescent="0.2">
      <c r="H5" s="15"/>
      <c r="I5" s="8"/>
      <c r="J5" s="193" t="s">
        <v>16</v>
      </c>
      <c r="K5" s="176"/>
      <c r="L5" s="192" t="s">
        <v>16</v>
      </c>
      <c r="M5" s="175"/>
    </row>
    <row r="6" spans="1:13" s="33" customFormat="1" ht="51" x14ac:dyDescent="0.2">
      <c r="A6" s="185" t="s">
        <v>0</v>
      </c>
      <c r="B6" s="196" t="s">
        <v>259</v>
      </c>
      <c r="C6" s="196" t="s">
        <v>260</v>
      </c>
      <c r="D6" s="186" t="s">
        <v>145</v>
      </c>
      <c r="E6" s="187" t="s">
        <v>261</v>
      </c>
      <c r="F6" s="58"/>
      <c r="H6" s="56" t="s">
        <v>143</v>
      </c>
      <c r="I6" s="58" t="s">
        <v>144</v>
      </c>
      <c r="J6" s="196" t="s">
        <v>259</v>
      </c>
      <c r="K6" s="196" t="s">
        <v>260</v>
      </c>
      <c r="L6" s="186" t="s">
        <v>145</v>
      </c>
      <c r="M6" s="187" t="s">
        <v>261</v>
      </c>
    </row>
    <row r="7" spans="1:13" x14ac:dyDescent="0.2">
      <c r="A7" s="188">
        <f>'Ex 1 HDD'!A8</f>
        <v>42522</v>
      </c>
      <c r="B7" s="35">
        <f>'Company Nom Groups'!S96</f>
        <v>0</v>
      </c>
      <c r="C7" s="35">
        <f>'Company Nom Groups'!B96</f>
        <v>72.49702262878418</v>
      </c>
      <c r="D7" s="16">
        <f t="shared" ref="D7:D18" si="0">H7-B7</f>
        <v>5738.9100000000008</v>
      </c>
      <c r="E7" s="14">
        <f t="shared" ref="E7:E18" si="1">I7-C7</f>
        <v>5271.8009235560894</v>
      </c>
      <c r="F7" s="73"/>
      <c r="H7" s="75">
        <f>'Ex 7 Co. Owned Gas'!B8</f>
        <v>5738.9100000000008</v>
      </c>
      <c r="I7" s="181">
        <f>'Ex 7 Co. Owned Gas'!C8</f>
        <v>5344.2979461848736</v>
      </c>
      <c r="J7" s="75">
        <f>B7</f>
        <v>0</v>
      </c>
      <c r="K7" s="190">
        <f>C7</f>
        <v>72.49702262878418</v>
      </c>
      <c r="L7" s="75">
        <f>D7</f>
        <v>5738.9100000000008</v>
      </c>
      <c r="M7" s="190">
        <f>E7</f>
        <v>5271.8009235560894</v>
      </c>
    </row>
    <row r="8" spans="1:13" x14ac:dyDescent="0.2">
      <c r="A8" s="188">
        <f>'Ex 1 HDD'!A9</f>
        <v>42552</v>
      </c>
      <c r="B8" s="35">
        <f>'Company Nom Groups'!W96</f>
        <v>0</v>
      </c>
      <c r="C8" s="35">
        <f>'Company Nom Groups'!C96</f>
        <v>170.4058141708374</v>
      </c>
      <c r="D8" s="16">
        <f t="shared" si="0"/>
        <v>5875.2499999999991</v>
      </c>
      <c r="E8" s="14">
        <f t="shared" si="1"/>
        <v>5350.5279924869537</v>
      </c>
      <c r="F8" s="73"/>
      <c r="H8" s="16">
        <f>'Ex 7 Co. Owned Gas'!B9</f>
        <v>5875.2499999999991</v>
      </c>
      <c r="I8" s="35">
        <f>'Ex 7 Co. Owned Gas'!C9</f>
        <v>5520.9338066577911</v>
      </c>
      <c r="J8" s="16">
        <f>B7+B8</f>
        <v>0</v>
      </c>
      <c r="K8" s="14">
        <f t="shared" ref="K8:M9" si="2">K7+C8</f>
        <v>242.90283679962158</v>
      </c>
      <c r="L8" s="16">
        <f t="shared" si="2"/>
        <v>11614.16</v>
      </c>
      <c r="M8" s="14">
        <f t="shared" si="2"/>
        <v>10622.328916043043</v>
      </c>
    </row>
    <row r="9" spans="1:13" x14ac:dyDescent="0.2">
      <c r="A9" s="188">
        <f>'Ex 1 HDD'!A10</f>
        <v>42583</v>
      </c>
      <c r="B9" s="35">
        <f>'Company Nom Groups'!AA96</f>
        <v>0</v>
      </c>
      <c r="C9" s="35">
        <f>'Company Nom Groups'!D96</f>
        <v>155.39060497283936</v>
      </c>
      <c r="D9" s="16">
        <f t="shared" si="0"/>
        <v>5626.69</v>
      </c>
      <c r="E9" s="14">
        <f t="shared" si="1"/>
        <v>5285.9866446852684</v>
      </c>
      <c r="F9" s="73"/>
      <c r="H9" s="16">
        <f>'Ex 7 Co. Owned Gas'!B10</f>
        <v>5626.69</v>
      </c>
      <c r="I9" s="35">
        <f>'Ex 7 Co. Owned Gas'!C10</f>
        <v>5441.3772496581078</v>
      </c>
      <c r="J9" s="16">
        <f t="shared" ref="J9:J18" si="3">J8+B9</f>
        <v>0</v>
      </c>
      <c r="K9" s="14">
        <f t="shared" si="2"/>
        <v>398.29344177246094</v>
      </c>
      <c r="L9" s="16">
        <f t="shared" si="2"/>
        <v>17240.849999999999</v>
      </c>
      <c r="M9" s="14">
        <f t="shared" si="2"/>
        <v>15908.315560728312</v>
      </c>
    </row>
    <row r="10" spans="1:13" x14ac:dyDescent="0.2">
      <c r="A10" s="188">
        <f>'Ex 1 HDD'!A11</f>
        <v>42614</v>
      </c>
      <c r="B10" s="35">
        <f>'Company Nom Groups'!AM96</f>
        <v>254.13</v>
      </c>
      <c r="C10" s="35">
        <f>'Company Nom Groups'!E96</f>
        <v>133.56600284576416</v>
      </c>
      <c r="D10" s="16">
        <f t="shared" si="0"/>
        <v>5447.6000000000022</v>
      </c>
      <c r="E10" s="14">
        <f t="shared" si="1"/>
        <v>5042.7420113533735</v>
      </c>
      <c r="F10" s="73"/>
      <c r="H10" s="16">
        <f>'Ex 7 Co. Owned Gas'!B11</f>
        <v>5701.7300000000023</v>
      </c>
      <c r="I10" s="35">
        <f>'Ex 7 Co. Owned Gas'!C11</f>
        <v>5176.3080141991377</v>
      </c>
      <c r="J10" s="16">
        <f t="shared" si="3"/>
        <v>254.13</v>
      </c>
      <c r="K10" s="14">
        <f t="shared" ref="K10:K18" si="4">K9+C10</f>
        <v>531.8594446182251</v>
      </c>
      <c r="L10" s="16">
        <f t="shared" ref="L10:L18" si="5">L9+D10</f>
        <v>22688.45</v>
      </c>
      <c r="M10" s="14">
        <f t="shared" ref="M10:M18" si="6">M9+E10</f>
        <v>20951.057572081685</v>
      </c>
    </row>
    <row r="11" spans="1:13" x14ac:dyDescent="0.2">
      <c r="A11" s="188">
        <f>'Ex 1 HDD'!A12</f>
        <v>42644</v>
      </c>
      <c r="B11" s="35">
        <f>'Company Nom Groups'!AQ96</f>
        <v>425.10999999999996</v>
      </c>
      <c r="C11" s="35">
        <f>'Company Nom Groups'!F96</f>
        <v>168.41680240631104</v>
      </c>
      <c r="D11" s="16">
        <f t="shared" si="0"/>
        <v>5474.47</v>
      </c>
      <c r="E11" s="14">
        <f t="shared" si="1"/>
        <v>5139.2606212496758</v>
      </c>
      <c r="F11" s="73"/>
      <c r="H11" s="16">
        <f>'Ex 7 Co. Owned Gas'!B12</f>
        <v>5899.58</v>
      </c>
      <c r="I11" s="35">
        <f>'Ex 7 Co. Owned Gas'!C12</f>
        <v>5307.6774236559868</v>
      </c>
      <c r="J11" s="16">
        <f t="shared" si="3"/>
        <v>679.24</v>
      </c>
      <c r="K11" s="14">
        <f t="shared" si="4"/>
        <v>700.27624702453613</v>
      </c>
      <c r="L11" s="16">
        <f t="shared" si="5"/>
        <v>28162.920000000002</v>
      </c>
      <c r="M11" s="14">
        <f t="shared" si="6"/>
        <v>26090.318193331361</v>
      </c>
    </row>
    <row r="12" spans="1:13" x14ac:dyDescent="0.2">
      <c r="A12" s="188">
        <f>'Ex 1 HDD'!A13</f>
        <v>42675</v>
      </c>
      <c r="B12" s="35">
        <f>'Company Nom Groups'!AU96</f>
        <v>354.40999999999997</v>
      </c>
      <c r="C12" s="35">
        <f>'Company Nom Groups'!G96</f>
        <v>332.00700187683105</v>
      </c>
      <c r="D12" s="16">
        <f t="shared" si="0"/>
        <v>5321.81</v>
      </c>
      <c r="E12" s="14">
        <f t="shared" si="1"/>
        <v>4906.4249787032604</v>
      </c>
      <c r="F12" s="73"/>
      <c r="H12" s="16">
        <f>'Ex 7 Co. Owned Gas'!B13</f>
        <v>5676.22</v>
      </c>
      <c r="I12" s="35">
        <f>'Ex 7 Co. Owned Gas'!C13</f>
        <v>5238.4319805800915</v>
      </c>
      <c r="J12" s="16">
        <f t="shared" si="3"/>
        <v>1033.6500000000001</v>
      </c>
      <c r="K12" s="14">
        <f t="shared" si="4"/>
        <v>1032.2832489013672</v>
      </c>
      <c r="L12" s="16">
        <f t="shared" si="5"/>
        <v>33484.730000000003</v>
      </c>
      <c r="M12" s="14">
        <f t="shared" si="6"/>
        <v>30996.743172034621</v>
      </c>
    </row>
    <row r="13" spans="1:13" x14ac:dyDescent="0.2">
      <c r="A13" s="188">
        <f>'Ex 1 HDD'!A14</f>
        <v>42705</v>
      </c>
      <c r="B13" s="35">
        <f>'Company Nom Groups'!BH96</f>
        <v>311.52</v>
      </c>
      <c r="C13" s="35">
        <f>'Company Nom Groups'!H96</f>
        <v>695.85391235351562</v>
      </c>
      <c r="D13" s="16">
        <f t="shared" si="0"/>
        <v>5400.8499999999985</v>
      </c>
      <c r="E13" s="14">
        <f t="shared" si="1"/>
        <v>5003.7999368160963</v>
      </c>
      <c r="F13" s="73"/>
      <c r="H13" s="16">
        <f>'Ex 7 Co. Owned Gas'!B14</f>
        <v>5712.3699999999981</v>
      </c>
      <c r="I13" s="35">
        <f>'Ex 7 Co. Owned Gas'!C14</f>
        <v>5699.6538491696119</v>
      </c>
      <c r="J13" s="16">
        <f t="shared" si="3"/>
        <v>1345.17</v>
      </c>
      <c r="K13" s="14">
        <f t="shared" si="4"/>
        <v>1728.1371612548828</v>
      </c>
      <c r="L13" s="16">
        <f t="shared" si="5"/>
        <v>38885.58</v>
      </c>
      <c r="M13" s="14">
        <f t="shared" si="6"/>
        <v>36000.543108850718</v>
      </c>
    </row>
    <row r="14" spans="1:13" x14ac:dyDescent="0.2">
      <c r="A14" s="188">
        <f>'Ex 1 HDD'!A15</f>
        <v>42736</v>
      </c>
      <c r="B14" s="35">
        <f>'Company Nom Groups'!BL96</f>
        <v>278.99</v>
      </c>
      <c r="C14" s="35">
        <f>'Company Nom Groups'!I96</f>
        <v>670.20759153366089</v>
      </c>
      <c r="D14" s="16">
        <f t="shared" si="0"/>
        <v>5131.8200000000006</v>
      </c>
      <c r="E14" s="14">
        <f t="shared" si="1"/>
        <v>4940.6343257576227</v>
      </c>
      <c r="F14" s="73"/>
      <c r="H14" s="16">
        <f>'Ex 7 Co. Owned Gas'!B15</f>
        <v>5410.81</v>
      </c>
      <c r="I14" s="35">
        <f>'Ex 7 Co. Owned Gas'!C15</f>
        <v>5610.8419172912836</v>
      </c>
      <c r="J14" s="16">
        <f t="shared" si="3"/>
        <v>1624.16</v>
      </c>
      <c r="K14" s="14">
        <f t="shared" si="4"/>
        <v>2398.3447527885437</v>
      </c>
      <c r="L14" s="16">
        <f t="shared" si="5"/>
        <v>44017.4</v>
      </c>
      <c r="M14" s="14">
        <f t="shared" si="6"/>
        <v>40941.17743460834</v>
      </c>
    </row>
    <row r="15" spans="1:13" x14ac:dyDescent="0.2">
      <c r="A15" s="188">
        <f>'Ex 1 HDD'!A16</f>
        <v>42767</v>
      </c>
      <c r="B15" s="35">
        <f>'Company Nom Groups'!BP96</f>
        <v>228.64000000000001</v>
      </c>
      <c r="C15" s="35">
        <f>'Company Nom Groups'!J96</f>
        <v>557.75998115539551</v>
      </c>
      <c r="D15" s="16">
        <f t="shared" si="0"/>
        <v>4718.8299999999972</v>
      </c>
      <c r="E15" s="14">
        <f t="shared" si="1"/>
        <v>4407.8748453557491</v>
      </c>
      <c r="F15" s="73"/>
      <c r="H15" s="16">
        <f>'Ex 7 Co. Owned Gas'!B16</f>
        <v>4947.4699999999975</v>
      </c>
      <c r="I15" s="35">
        <f>'Ex 7 Co. Owned Gas'!C16</f>
        <v>4965.6348265111446</v>
      </c>
      <c r="J15" s="16">
        <f t="shared" si="3"/>
        <v>1852.8000000000002</v>
      </c>
      <c r="K15" s="14">
        <f t="shared" si="4"/>
        <v>2956.1047339439392</v>
      </c>
      <c r="L15" s="16">
        <f t="shared" si="5"/>
        <v>48736.229999999996</v>
      </c>
      <c r="M15" s="14">
        <f t="shared" si="6"/>
        <v>45349.052279964089</v>
      </c>
    </row>
    <row r="16" spans="1:13" x14ac:dyDescent="0.2">
      <c r="A16" s="188">
        <f>'Ex 1 HDD'!A17</f>
        <v>42795</v>
      </c>
      <c r="B16" s="35">
        <f>'Company Nom Groups'!AA113</f>
        <v>0</v>
      </c>
      <c r="C16" s="35">
        <f>'Company Nom Groups'!K96</f>
        <v>571.1439995765686</v>
      </c>
      <c r="D16" s="16">
        <f t="shared" si="0"/>
        <v>0</v>
      </c>
      <c r="E16" s="14">
        <f t="shared" si="1"/>
        <v>4821.5943654924631</v>
      </c>
      <c r="F16" s="73"/>
      <c r="H16" s="16">
        <f>'Ex 7 Co. Owned Gas'!B17</f>
        <v>0</v>
      </c>
      <c r="I16" s="35">
        <f>'Ex 7 Co. Owned Gas'!C17</f>
        <v>5392.7383650690317</v>
      </c>
      <c r="J16" s="16">
        <f t="shared" si="3"/>
        <v>1852.8000000000002</v>
      </c>
      <c r="K16" s="14">
        <f t="shared" si="4"/>
        <v>3527.2487335205078</v>
      </c>
      <c r="L16" s="16">
        <f t="shared" si="5"/>
        <v>48736.229999999996</v>
      </c>
      <c r="M16" s="14">
        <f t="shared" si="6"/>
        <v>50170.646645456553</v>
      </c>
    </row>
    <row r="17" spans="1:14" x14ac:dyDescent="0.2">
      <c r="A17" s="188">
        <f>'Ex 1 HDD'!A18</f>
        <v>42826</v>
      </c>
      <c r="B17" s="35">
        <f>'Company Nom Groups'!AA114</f>
        <v>0</v>
      </c>
      <c r="C17" s="35">
        <f>'Company Nom Groups'!L96</f>
        <v>515.39399385452271</v>
      </c>
      <c r="D17" s="16">
        <f t="shared" si="0"/>
        <v>0</v>
      </c>
      <c r="E17" s="14">
        <f t="shared" si="1"/>
        <v>4611.6240132004023</v>
      </c>
      <c r="F17" s="73"/>
      <c r="H17" s="16">
        <f>'Ex 7 Co. Owned Gas'!B18</f>
        <v>0</v>
      </c>
      <c r="I17" s="35">
        <f>'Ex 7 Co. Owned Gas'!C18</f>
        <v>5127.018007054925</v>
      </c>
      <c r="J17" s="16">
        <f t="shared" si="3"/>
        <v>1852.8000000000002</v>
      </c>
      <c r="K17" s="14">
        <f t="shared" si="4"/>
        <v>4042.6427273750305</v>
      </c>
      <c r="L17" s="16">
        <f t="shared" si="5"/>
        <v>48736.229999999996</v>
      </c>
      <c r="M17" s="14">
        <f t="shared" si="6"/>
        <v>54782.270658656955</v>
      </c>
    </row>
    <row r="18" spans="1:14" x14ac:dyDescent="0.2">
      <c r="A18" s="189">
        <f>'Ex 1 HDD'!A19</f>
        <v>42856</v>
      </c>
      <c r="B18" s="35">
        <f>'Company Nom Groups'!AA115</f>
        <v>0</v>
      </c>
      <c r="C18" s="35">
        <f>'Company Nom Groups'!M96</f>
        <v>500.32139873504639</v>
      </c>
      <c r="D18" s="182">
        <f t="shared" si="0"/>
        <v>0</v>
      </c>
      <c r="E18" s="184">
        <f t="shared" si="1"/>
        <v>4710.9432583010193</v>
      </c>
      <c r="F18" s="73"/>
      <c r="H18" s="182">
        <f>'Ex 7 Co. Owned Gas'!B19</f>
        <v>0</v>
      </c>
      <c r="I18" s="183">
        <f>'Ex 7 Co. Owned Gas'!C19</f>
        <v>5211.2646570360657</v>
      </c>
      <c r="J18" s="16">
        <f t="shared" si="3"/>
        <v>1852.8000000000002</v>
      </c>
      <c r="K18" s="14">
        <f t="shared" si="4"/>
        <v>4542.9641261100769</v>
      </c>
      <c r="L18" s="182">
        <f t="shared" si="5"/>
        <v>48736.229999999996</v>
      </c>
      <c r="M18" s="184">
        <f t="shared" si="6"/>
        <v>59493.213916957975</v>
      </c>
    </row>
    <row r="19" spans="1:14" x14ac:dyDescent="0.2">
      <c r="A19" s="8"/>
      <c r="B19" s="8"/>
      <c r="C19" s="35"/>
      <c r="D19" s="8"/>
      <c r="E19" s="8"/>
      <c r="F19" s="8"/>
      <c r="G19" s="8"/>
      <c r="H19" s="8"/>
      <c r="I19" s="8"/>
      <c r="J19" s="8"/>
      <c r="K19" s="8"/>
      <c r="L19" s="8"/>
      <c r="M19" s="8"/>
      <c r="N19" s="8"/>
    </row>
    <row r="21" spans="1:14" x14ac:dyDescent="0.2">
      <c r="A21" s="8"/>
      <c r="B21" s="8"/>
      <c r="C21" s="8"/>
      <c r="D21" s="8"/>
      <c r="E21" s="8"/>
      <c r="F21" s="8"/>
      <c r="G21" s="8"/>
      <c r="H21" s="8"/>
      <c r="I21" s="8"/>
      <c r="J21" s="192"/>
      <c r="K21" s="175"/>
      <c r="L21" s="192"/>
      <c r="M21" s="175"/>
      <c r="N21" s="8"/>
    </row>
    <row r="22" spans="1:14" s="33" customFormat="1" x14ac:dyDescent="0.2">
      <c r="A22" s="71"/>
      <c r="B22" s="71"/>
      <c r="C22" s="148"/>
      <c r="D22" s="58"/>
      <c r="E22" s="58"/>
      <c r="F22" s="58"/>
      <c r="G22" s="72"/>
      <c r="H22" s="58"/>
      <c r="I22" s="58"/>
      <c r="J22" s="35"/>
      <c r="K22" s="71"/>
      <c r="L22" s="58"/>
      <c r="M22" s="58"/>
      <c r="N22" s="72"/>
    </row>
    <row r="23" spans="1:14" x14ac:dyDescent="0.2">
      <c r="A23" s="63"/>
      <c r="B23" s="35"/>
      <c r="C23" s="148"/>
      <c r="D23" s="35"/>
      <c r="E23" s="35"/>
      <c r="F23" s="35"/>
      <c r="G23" s="8"/>
      <c r="H23" s="35"/>
      <c r="I23" s="35"/>
      <c r="J23" s="35"/>
      <c r="K23" s="35"/>
      <c r="L23" s="35"/>
      <c r="M23" s="35"/>
      <c r="N23" s="8"/>
    </row>
    <row r="24" spans="1:14" x14ac:dyDescent="0.2">
      <c r="A24" s="63"/>
      <c r="B24" s="35"/>
      <c r="C24" s="148"/>
      <c r="D24" s="35"/>
      <c r="E24" s="35"/>
      <c r="F24" s="35"/>
      <c r="G24" s="8"/>
      <c r="H24" s="35"/>
      <c r="I24" s="35"/>
      <c r="K24" s="35"/>
      <c r="L24" s="35"/>
      <c r="M24" s="35"/>
      <c r="N24" s="8"/>
    </row>
    <row r="25" spans="1:14" x14ac:dyDescent="0.2">
      <c r="A25" s="63"/>
      <c r="B25" s="35"/>
      <c r="C25" s="148"/>
      <c r="D25" s="35"/>
      <c r="E25" s="35"/>
      <c r="F25" s="35"/>
      <c r="G25" s="8"/>
      <c r="H25" s="35"/>
      <c r="I25" s="35"/>
      <c r="J25" s="35"/>
      <c r="K25" s="35"/>
      <c r="L25" s="35"/>
      <c r="M25" s="35"/>
      <c r="N25" s="8"/>
    </row>
    <row r="26" spans="1:14" x14ac:dyDescent="0.2">
      <c r="A26" s="63"/>
      <c r="B26" s="35"/>
      <c r="C26" s="148"/>
      <c r="D26" s="35"/>
      <c r="E26" s="35"/>
      <c r="F26" s="35"/>
      <c r="G26" s="8"/>
      <c r="H26" s="35"/>
      <c r="I26" s="35"/>
      <c r="J26" s="35"/>
      <c r="K26" s="35"/>
      <c r="L26" s="35"/>
      <c r="M26" s="35"/>
      <c r="N26" s="8"/>
    </row>
    <row r="27" spans="1:14" x14ac:dyDescent="0.2">
      <c r="A27" s="63"/>
      <c r="B27" s="35"/>
      <c r="C27" s="148"/>
      <c r="D27" s="35"/>
      <c r="E27" s="35"/>
      <c r="F27" s="35"/>
      <c r="G27" s="8"/>
      <c r="H27" s="35"/>
      <c r="I27" s="35"/>
      <c r="J27" s="35"/>
      <c r="K27" s="35"/>
      <c r="L27" s="35"/>
      <c r="M27" s="35"/>
      <c r="N27" s="8"/>
    </row>
    <row r="28" spans="1:14" x14ac:dyDescent="0.2">
      <c r="A28" s="63"/>
      <c r="B28" s="35"/>
      <c r="C28" s="148"/>
      <c r="D28" s="35"/>
      <c r="E28" s="35"/>
      <c r="F28" s="35"/>
      <c r="G28" s="8"/>
      <c r="H28" s="35"/>
      <c r="I28" s="35"/>
      <c r="J28" s="35"/>
      <c r="K28" s="35"/>
      <c r="L28" s="35"/>
      <c r="M28" s="35"/>
      <c r="N28" s="8"/>
    </row>
    <row r="29" spans="1:14" x14ac:dyDescent="0.2">
      <c r="A29" s="63"/>
      <c r="B29" s="35"/>
      <c r="C29" s="148"/>
      <c r="D29" s="35"/>
      <c r="E29" s="35"/>
      <c r="F29" s="35"/>
      <c r="G29" s="8"/>
      <c r="H29" s="35"/>
      <c r="I29" s="35"/>
      <c r="J29" s="35"/>
      <c r="K29" s="35"/>
      <c r="L29" s="35"/>
      <c r="M29" s="35"/>
      <c r="N29" s="8"/>
    </row>
    <row r="30" spans="1:14" x14ac:dyDescent="0.2">
      <c r="A30" s="63"/>
      <c r="B30" s="35"/>
      <c r="C30" s="148"/>
      <c r="D30" s="35"/>
      <c r="E30" s="35"/>
      <c r="F30" s="35"/>
      <c r="G30" s="8"/>
      <c r="H30" s="35"/>
      <c r="I30" s="35"/>
      <c r="J30" s="35"/>
      <c r="K30" s="35"/>
      <c r="L30" s="35"/>
      <c r="M30" s="35"/>
      <c r="N30" s="8"/>
    </row>
    <row r="31" spans="1:14" x14ac:dyDescent="0.2">
      <c r="A31" s="63"/>
      <c r="B31" s="35"/>
      <c r="C31" s="148"/>
      <c r="D31" s="35"/>
      <c r="E31" s="35"/>
      <c r="F31" s="35"/>
      <c r="G31" s="8"/>
      <c r="H31" s="35"/>
      <c r="I31" s="35"/>
      <c r="J31" s="35"/>
      <c r="K31" s="35"/>
      <c r="L31" s="35"/>
      <c r="M31" s="35"/>
      <c r="N31" s="8"/>
    </row>
    <row r="32" spans="1:14" x14ac:dyDescent="0.2">
      <c r="A32" s="63"/>
      <c r="B32" s="35"/>
      <c r="C32" s="148"/>
      <c r="D32" s="35"/>
      <c r="E32" s="35"/>
      <c r="F32" s="35"/>
      <c r="G32" s="8"/>
      <c r="H32" s="35"/>
      <c r="I32" s="35"/>
      <c r="J32" s="35"/>
      <c r="K32" s="35"/>
      <c r="L32" s="35"/>
      <c r="M32" s="35"/>
      <c r="N32" s="8"/>
    </row>
    <row r="33" spans="1:14" x14ac:dyDescent="0.2">
      <c r="A33" s="63"/>
      <c r="B33" s="35"/>
      <c r="C33" s="148"/>
      <c r="D33" s="35"/>
      <c r="E33" s="35"/>
      <c r="F33" s="35"/>
      <c r="G33" s="8"/>
      <c r="H33" s="35"/>
      <c r="I33" s="35"/>
      <c r="J33" s="35"/>
      <c r="K33" s="35"/>
      <c r="L33" s="35"/>
      <c r="M33" s="35"/>
      <c r="N33" s="8"/>
    </row>
    <row r="34" spans="1:14" x14ac:dyDescent="0.2">
      <c r="A34" s="63"/>
      <c r="B34" s="35"/>
      <c r="C34" s="148"/>
      <c r="D34" s="35"/>
      <c r="E34" s="35"/>
      <c r="F34" s="35"/>
      <c r="G34" s="8"/>
      <c r="H34" s="35"/>
      <c r="I34" s="35"/>
      <c r="J34" s="35"/>
      <c r="K34" s="35"/>
      <c r="L34" s="35"/>
      <c r="M34" s="35"/>
      <c r="N34" s="8"/>
    </row>
    <row r="35" spans="1:14" x14ac:dyDescent="0.2">
      <c r="A35" s="8"/>
      <c r="B35" s="8"/>
      <c r="C35" s="35"/>
      <c r="D35" s="8"/>
      <c r="E35" s="8"/>
      <c r="F35" s="8"/>
      <c r="G35" s="8"/>
      <c r="H35" s="8"/>
      <c r="I35" s="8"/>
      <c r="J35" s="8"/>
      <c r="K35" s="8"/>
      <c r="L35" s="8"/>
      <c r="M35" s="8"/>
      <c r="N35" s="8"/>
    </row>
    <row r="36" spans="1:14" x14ac:dyDescent="0.2">
      <c r="A36" s="8"/>
      <c r="B36" s="35"/>
      <c r="C36" s="35"/>
      <c r="D36" s="35"/>
      <c r="E36" s="35"/>
      <c r="F36" s="35"/>
      <c r="G36" s="8"/>
      <c r="H36" s="35"/>
      <c r="I36" s="35"/>
      <c r="J36" s="8"/>
      <c r="K36" s="8"/>
      <c r="L36" s="8"/>
      <c r="M36" s="8"/>
      <c r="N36" s="8"/>
    </row>
    <row r="37" spans="1:14" x14ac:dyDescent="0.2">
      <c r="A37" s="8"/>
      <c r="B37" s="8"/>
      <c r="C37" s="8"/>
      <c r="D37" s="8"/>
      <c r="E37" s="8"/>
      <c r="F37" s="8"/>
      <c r="G37" s="8"/>
      <c r="H37" s="8"/>
      <c r="I37" s="8"/>
      <c r="J37" s="8"/>
      <c r="K37" s="8"/>
      <c r="L37" s="8"/>
      <c r="M37" s="8"/>
      <c r="N37" s="8"/>
    </row>
    <row r="38" spans="1:14" x14ac:dyDescent="0.2">
      <c r="A38" s="8"/>
      <c r="B38" s="8"/>
      <c r="C38" s="8"/>
      <c r="D38" s="8"/>
      <c r="E38" s="8"/>
      <c r="F38" s="8"/>
      <c r="G38" s="8"/>
      <c r="H38" s="8"/>
      <c r="I38" s="8"/>
      <c r="J38" s="8"/>
      <c r="K38" s="8"/>
      <c r="L38" s="8"/>
      <c r="M38" s="8"/>
      <c r="N38" s="8"/>
    </row>
    <row r="42" spans="1:14" x14ac:dyDescent="0.2">
      <c r="B42" s="47"/>
    </row>
    <row r="43" spans="1:14" x14ac:dyDescent="0.2">
      <c r="B43" s="47"/>
    </row>
    <row r="44" spans="1:14" x14ac:dyDescent="0.2">
      <c r="B44" s="47"/>
    </row>
    <row r="45" spans="1:14" x14ac:dyDescent="0.2">
      <c r="B45" s="47"/>
    </row>
    <row r="46" spans="1:14" x14ac:dyDescent="0.2">
      <c r="B46" s="47"/>
    </row>
    <row r="47" spans="1:14" x14ac:dyDescent="0.2">
      <c r="B47" s="47"/>
    </row>
    <row r="48" spans="1:14" x14ac:dyDescent="0.2">
      <c r="B48" s="47"/>
    </row>
    <row r="49" spans="2:2" x14ac:dyDescent="0.2">
      <c r="B49" s="47"/>
    </row>
    <row r="50" spans="2:2" x14ac:dyDescent="0.2">
      <c r="B50" s="47"/>
    </row>
    <row r="51" spans="2:2" x14ac:dyDescent="0.2">
      <c r="B51" s="47"/>
    </row>
    <row r="52" spans="2:2" x14ac:dyDescent="0.2">
      <c r="B52" s="47"/>
    </row>
    <row r="53" spans="2:2" x14ac:dyDescent="0.2">
      <c r="B53" s="47"/>
    </row>
  </sheetData>
  <mergeCells count="3">
    <mergeCell ref="A1:J1"/>
    <mergeCell ref="A2:J2"/>
    <mergeCell ref="A3:J3"/>
  </mergeCells>
  <phoneticPr fontId="23" type="noConversion"/>
  <pageMargins left="0.75" right="0.75" top="1" bottom="1" header="0.5" footer="0.5"/>
  <pageSetup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O31:Q32"/>
  <sheetViews>
    <sheetView workbookViewId="0">
      <selection activeCell="O31" sqref="O31"/>
    </sheetView>
  </sheetViews>
  <sheetFormatPr defaultRowHeight="12.75" x14ac:dyDescent="0.2"/>
  <cols>
    <col min="1" max="14" width="8.28515625" customWidth="1"/>
    <col min="15" max="17" width="2.85546875" style="109" customWidth="1"/>
  </cols>
  <sheetData>
    <row r="31" spans="15:17" ht="109.5" customHeight="1" x14ac:dyDescent="0.2">
      <c r="O31" s="110" t="str">
        <f>'Exhibit 1.1'!O31</f>
        <v>DEU Variance Exhibit</v>
      </c>
      <c r="P31" s="110" t="str">
        <f>'Exhibit 1.1'!P31</f>
        <v>Docket No. 16-057-08</v>
      </c>
      <c r="Q31" s="110" t="str">
        <f>'Exhibit 1.1'!Q31</f>
        <v>Dominion Energy Utah</v>
      </c>
    </row>
    <row r="32" spans="15:17" ht="24" customHeight="1" x14ac:dyDescent="0.2">
      <c r="O32" s="112">
        <v>8.1</v>
      </c>
    </row>
  </sheetData>
  <printOptions horizontalCentered="1" verticalCentered="1"/>
  <pageMargins left="0.7" right="0.7" top="0.75" bottom="0.75" header="0.3" footer="0.3"/>
  <pageSetup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O31:Q32"/>
  <sheetViews>
    <sheetView topLeftCell="A7" workbookViewId="0">
      <selection activeCell="O31" sqref="O31"/>
    </sheetView>
  </sheetViews>
  <sheetFormatPr defaultRowHeight="12.75" x14ac:dyDescent="0.2"/>
  <cols>
    <col min="1" max="14" width="8.28515625" customWidth="1"/>
    <col min="15" max="17" width="2.85546875" style="109" customWidth="1"/>
  </cols>
  <sheetData>
    <row r="31" spans="15:17" ht="106.5" customHeight="1" x14ac:dyDescent="0.2">
      <c r="O31" s="110" t="str">
        <f>'Exhibit 1.1'!O31</f>
        <v>DEU Variance Exhibit</v>
      </c>
      <c r="P31" s="110" t="str">
        <f>'Exhibit 1.1'!P31</f>
        <v>Docket No. 16-057-08</v>
      </c>
      <c r="Q31" s="110" t="str">
        <f>'Exhibit 1.1'!Q31</f>
        <v>Dominion Energy Utah</v>
      </c>
    </row>
    <row r="32" spans="15:17" ht="24" customHeight="1" x14ac:dyDescent="0.2">
      <c r="O32" s="112">
        <v>8.1999999999999993</v>
      </c>
    </row>
  </sheetData>
  <printOptions horizontalCentered="1" verticalCentered="1"/>
  <pageMargins left="0.7" right="0.7" top="0.75" bottom="0.75" header="0.3" footer="0.3"/>
  <pageSetup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O31:Q32"/>
  <sheetViews>
    <sheetView workbookViewId="0">
      <selection activeCell="O31" sqref="O31"/>
    </sheetView>
  </sheetViews>
  <sheetFormatPr defaultRowHeight="12.75" x14ac:dyDescent="0.2"/>
  <cols>
    <col min="1" max="14" width="8.28515625" customWidth="1"/>
    <col min="15" max="17" width="2.42578125" customWidth="1"/>
  </cols>
  <sheetData>
    <row r="31" spans="15:17" ht="111" customHeight="1" x14ac:dyDescent="0.2">
      <c r="O31" s="110" t="str">
        <f>'Exhibit 1.1'!O31</f>
        <v>DEU Variance Exhibit</v>
      </c>
      <c r="P31" s="110" t="str">
        <f>'Exhibit 1.1'!P31</f>
        <v>Docket No. 16-057-08</v>
      </c>
      <c r="Q31" s="110" t="str">
        <f>'Exhibit 1.1'!Q31</f>
        <v>Dominion Energy Utah</v>
      </c>
    </row>
    <row r="32" spans="15:17" ht="21" customHeight="1" x14ac:dyDescent="0.2">
      <c r="O32" s="112">
        <v>8.3000000000000007</v>
      </c>
      <c r="P32" s="109"/>
      <c r="Q32" s="109"/>
    </row>
  </sheetData>
  <printOptions horizontalCentered="1" verticalCentered="1"/>
  <pageMargins left="0.7" right="0.7" top="0.75" bottom="0.75" header="0.3" footer="0.3"/>
  <pageSetup orientation="landscape" r:id="rId1"/>
  <drawing r:id="rId2"/>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pageSetUpPr fitToPage="1"/>
  </sheetPr>
  <dimension ref="A1:KJ289"/>
  <sheetViews>
    <sheetView topLeftCell="BA82" workbookViewId="0">
      <selection activeCell="BM91" sqref="BM91"/>
    </sheetView>
  </sheetViews>
  <sheetFormatPr defaultRowHeight="15" customHeight="1" x14ac:dyDescent="0.25"/>
  <cols>
    <col min="1" max="1" width="23" style="238" customWidth="1"/>
    <col min="2" max="13" width="10.140625" style="238" customWidth="1"/>
    <col min="14" max="14" width="15.28515625" style="238" customWidth="1"/>
    <col min="15" max="15" width="9.140625" style="238" customWidth="1"/>
    <col min="16" max="16" width="19.85546875" style="238" customWidth="1"/>
    <col min="17" max="17" width="3.140625" style="238" customWidth="1"/>
    <col min="18" max="18" width="15.7109375" style="238" customWidth="1"/>
    <col min="19" max="20" width="9.42578125" style="256" customWidth="1"/>
    <col min="21" max="21" width="3.42578125" style="342" customWidth="1"/>
    <col min="22" max="22" width="15.7109375" style="256" customWidth="1"/>
    <col min="23" max="24" width="9.42578125" style="256" customWidth="1"/>
    <col min="25" max="25" width="3.42578125" style="342" customWidth="1"/>
    <col min="26" max="26" width="15.7109375" style="342" customWidth="1"/>
    <col min="27" max="27" width="9.42578125" style="256" customWidth="1"/>
    <col min="28" max="28" width="9.42578125" style="238" customWidth="1"/>
    <col min="29" max="29" width="3.42578125" style="245" customWidth="1"/>
    <col min="30" max="30" width="15.7109375" style="256" customWidth="1"/>
    <col min="31" max="32" width="9.42578125" style="238" customWidth="1"/>
    <col min="33" max="33" width="1.85546875" style="256" customWidth="1"/>
    <col min="34" max="34" width="2.85546875" style="256" customWidth="1"/>
    <col min="35" max="36" width="2.85546875" style="238" customWidth="1"/>
    <col min="37" max="37" width="6.28515625" style="238" customWidth="1"/>
    <col min="38" max="38" width="15.28515625" style="238" customWidth="1"/>
    <col min="39" max="40" width="8.5703125" style="238" customWidth="1"/>
    <col min="41" max="41" width="6.140625" style="238" customWidth="1"/>
    <col min="42" max="42" width="15.28515625" style="243" customWidth="1"/>
    <col min="43" max="44" width="8.5703125" style="243" customWidth="1"/>
    <col min="45" max="45" width="6.140625" style="243" customWidth="1"/>
    <col min="46" max="46" width="15.28515625" style="244" customWidth="1"/>
    <col min="47" max="47" width="8.5703125" style="244" customWidth="1"/>
    <col min="48" max="48" width="8.5703125" style="238" customWidth="1"/>
    <col min="49" max="49" width="6.140625" style="238" customWidth="1"/>
    <col min="50" max="50" width="15.28515625" style="238" customWidth="1"/>
    <col min="51" max="52" width="8.5703125" style="238" customWidth="1"/>
    <col min="53" max="53" width="2" style="238" customWidth="1"/>
    <col min="54" max="56" width="3" style="245" customWidth="1"/>
    <col min="57" max="57" width="2" style="245" customWidth="1"/>
    <col min="58" max="58" width="12.42578125" style="245" customWidth="1"/>
    <col min="59" max="59" width="17.42578125" style="238" customWidth="1"/>
    <col min="60" max="61" width="9.140625" style="238"/>
    <col min="62" max="62" width="2.7109375" style="245" customWidth="1"/>
    <col min="63" max="63" width="17.42578125" style="238" customWidth="1"/>
    <col min="64" max="65" width="9.140625" style="238"/>
    <col min="66" max="66" width="2.7109375" style="245" customWidth="1"/>
    <col min="67" max="67" width="17.42578125" style="238" customWidth="1"/>
    <col min="68" max="69" width="9.140625" style="238"/>
    <col min="70" max="70" width="2.7109375" style="238" customWidth="1"/>
    <col min="71" max="71" width="17.42578125" style="238" customWidth="1"/>
    <col min="72" max="73" width="9.140625" style="238"/>
    <col min="74" max="74" width="2.42578125" style="238" customWidth="1"/>
    <col min="75" max="79" width="2.42578125" style="245" customWidth="1"/>
    <col min="80" max="81" width="9.7109375" style="245" customWidth="1"/>
    <col min="82" max="82" width="17.7109375" style="238" customWidth="1"/>
    <col min="83" max="84" width="9.140625" style="238"/>
    <col min="85" max="85" width="9.140625" style="245"/>
    <col min="86" max="86" width="17.7109375" style="238" customWidth="1"/>
    <col min="87" max="88" width="9.140625" style="238"/>
    <col min="89" max="89" width="9.140625" style="245"/>
    <col min="90" max="90" width="17.7109375" style="238" customWidth="1"/>
    <col min="91" max="16384" width="9.140625" style="238"/>
  </cols>
  <sheetData>
    <row r="1" spans="1:296" ht="15" customHeight="1" x14ac:dyDescent="0.25">
      <c r="A1" s="237" t="s">
        <v>18</v>
      </c>
      <c r="R1" s="239"/>
      <c r="S1" s="240"/>
      <c r="T1" s="240"/>
      <c r="U1" s="241"/>
      <c r="V1" s="240"/>
      <c r="W1" s="240"/>
      <c r="X1" s="240"/>
      <c r="Y1" s="241"/>
      <c r="Z1" s="240"/>
      <c r="AA1" s="240"/>
      <c r="AB1" s="239"/>
      <c r="AC1" s="242"/>
      <c r="AD1" s="240"/>
      <c r="AE1" s="239"/>
      <c r="AF1" s="239"/>
      <c r="AG1" s="240"/>
      <c r="AH1" s="240"/>
    </row>
    <row r="2" spans="1:296" ht="15" customHeight="1" x14ac:dyDescent="0.25">
      <c r="A2" s="237" t="s">
        <v>19</v>
      </c>
      <c r="D2" s="238">
        <v>1106</v>
      </c>
      <c r="R2" s="450" t="s">
        <v>239</v>
      </c>
      <c r="S2" s="450"/>
      <c r="T2" s="450"/>
      <c r="U2" s="246"/>
      <c r="V2" s="450" t="s">
        <v>240</v>
      </c>
      <c r="W2" s="450"/>
      <c r="X2" s="450"/>
      <c r="Y2" s="246"/>
      <c r="Z2" s="450" t="s">
        <v>241</v>
      </c>
      <c r="AA2" s="450"/>
      <c r="AB2" s="450"/>
      <c r="AC2" s="246"/>
      <c r="AD2" s="450" t="s">
        <v>68</v>
      </c>
      <c r="AE2" s="450"/>
      <c r="AF2" s="450"/>
      <c r="AG2" s="238"/>
      <c r="AH2" s="238"/>
      <c r="AL2" s="450" t="s">
        <v>242</v>
      </c>
      <c r="AM2" s="450"/>
      <c r="AN2" s="450"/>
      <c r="AP2" s="444" t="s">
        <v>243</v>
      </c>
      <c r="AQ2" s="444"/>
      <c r="AR2" s="444"/>
      <c r="AS2" s="247"/>
      <c r="AT2" s="444" t="s">
        <v>244</v>
      </c>
      <c r="AU2" s="444"/>
      <c r="AV2" s="444"/>
      <c r="AW2" s="247"/>
      <c r="AX2" s="444" t="s">
        <v>222</v>
      </c>
      <c r="AY2" s="444"/>
      <c r="AZ2" s="444"/>
      <c r="BA2" s="247"/>
      <c r="BB2" s="248"/>
      <c r="BC2" s="248"/>
      <c r="BD2" s="248"/>
      <c r="BE2" s="248"/>
      <c r="BG2" s="444" t="s">
        <v>245</v>
      </c>
      <c r="BH2" s="444"/>
      <c r="BI2" s="444"/>
      <c r="BK2" s="444" t="s">
        <v>246</v>
      </c>
      <c r="BL2" s="444"/>
      <c r="BM2" s="444"/>
      <c r="BO2" s="444" t="s">
        <v>247</v>
      </c>
      <c r="BP2" s="444"/>
      <c r="BQ2" s="444"/>
      <c r="BR2" s="247"/>
      <c r="BS2" s="444" t="s">
        <v>221</v>
      </c>
      <c r="BT2" s="444"/>
      <c r="BU2" s="444"/>
      <c r="BV2" s="247"/>
      <c r="BW2" s="248"/>
      <c r="BX2" s="248"/>
      <c r="BY2" s="248"/>
      <c r="BZ2" s="248"/>
      <c r="CA2" s="248"/>
      <c r="CB2" s="248"/>
      <c r="CC2" s="247"/>
      <c r="CD2" s="444" t="s">
        <v>248</v>
      </c>
      <c r="CE2" s="444"/>
      <c r="CF2" s="444"/>
      <c r="CG2" s="249"/>
      <c r="CH2" s="444" t="s">
        <v>249</v>
      </c>
      <c r="CI2" s="444"/>
      <c r="CJ2" s="444"/>
      <c r="CL2" s="444" t="s">
        <v>250</v>
      </c>
      <c r="CM2" s="444"/>
      <c r="CN2" s="444"/>
    </row>
    <row r="3" spans="1:296" ht="15" customHeight="1" x14ac:dyDescent="0.25">
      <c r="A3" s="237" t="s">
        <v>24</v>
      </c>
      <c r="R3" s="450" t="s">
        <v>58</v>
      </c>
      <c r="S3" s="450"/>
      <c r="T3" s="450"/>
      <c r="U3" s="246"/>
      <c r="V3" s="450" t="s">
        <v>58</v>
      </c>
      <c r="W3" s="450"/>
      <c r="X3" s="450"/>
      <c r="Y3" s="246"/>
      <c r="Z3" s="450" t="s">
        <v>58</v>
      </c>
      <c r="AA3" s="450"/>
      <c r="AB3" s="450"/>
      <c r="AC3" s="246"/>
      <c r="AD3" s="450" t="s">
        <v>58</v>
      </c>
      <c r="AE3" s="450"/>
      <c r="AF3" s="450"/>
      <c r="AG3" s="238"/>
      <c r="AH3" s="238"/>
      <c r="AL3" s="450" t="s">
        <v>58</v>
      </c>
      <c r="AM3" s="450"/>
      <c r="AN3" s="450"/>
      <c r="AP3" s="444" t="s">
        <v>58</v>
      </c>
      <c r="AQ3" s="444"/>
      <c r="AR3" s="444"/>
      <c r="AS3" s="247"/>
      <c r="AT3" s="444" t="s">
        <v>58</v>
      </c>
      <c r="AU3" s="444"/>
      <c r="AV3" s="444"/>
      <c r="AW3" s="247"/>
      <c r="AX3" s="444" t="s">
        <v>58</v>
      </c>
      <c r="AY3" s="444"/>
      <c r="AZ3" s="444"/>
      <c r="BA3" s="247"/>
      <c r="BB3" s="248"/>
      <c r="BC3" s="248"/>
      <c r="BD3" s="248"/>
      <c r="BE3" s="248"/>
      <c r="BG3" s="444" t="s">
        <v>58</v>
      </c>
      <c r="BH3" s="444"/>
      <c r="BI3" s="444"/>
      <c r="BK3" s="444" t="s">
        <v>58</v>
      </c>
      <c r="BL3" s="444"/>
      <c r="BM3" s="444"/>
      <c r="BO3" s="444" t="s">
        <v>58</v>
      </c>
      <c r="BP3" s="444"/>
      <c r="BQ3" s="444"/>
      <c r="BR3" s="247"/>
      <c r="BS3" s="444" t="s">
        <v>58</v>
      </c>
      <c r="BT3" s="444"/>
      <c r="BU3" s="444"/>
      <c r="BV3" s="247"/>
      <c r="BW3" s="248"/>
      <c r="BX3" s="248"/>
      <c r="BY3" s="248"/>
      <c r="BZ3" s="248"/>
      <c r="CA3" s="248"/>
      <c r="CB3" s="248"/>
      <c r="CD3" s="444" t="s">
        <v>58</v>
      </c>
      <c r="CE3" s="444"/>
      <c r="CF3" s="444"/>
      <c r="CH3" s="444" t="s">
        <v>58</v>
      </c>
      <c r="CI3" s="444"/>
      <c r="CJ3" s="444"/>
      <c r="CL3" s="444" t="s">
        <v>58</v>
      </c>
      <c r="CM3" s="444"/>
      <c r="CN3" s="444"/>
    </row>
    <row r="4" spans="1:296" ht="15" customHeight="1" x14ac:dyDescent="0.25">
      <c r="A4" s="237"/>
      <c r="B4" s="238">
        <v>2</v>
      </c>
      <c r="C4" s="238">
        <v>3</v>
      </c>
      <c r="D4" s="238">
        <v>4</v>
      </c>
      <c r="E4" s="238">
        <v>5</v>
      </c>
      <c r="F4" s="238">
        <v>6</v>
      </c>
      <c r="G4" s="238">
        <v>7</v>
      </c>
      <c r="H4" s="238">
        <v>8</v>
      </c>
      <c r="I4" s="238">
        <v>9</v>
      </c>
      <c r="J4" s="238">
        <v>10</v>
      </c>
      <c r="K4" s="238">
        <v>11</v>
      </c>
      <c r="L4" s="238">
        <v>12</v>
      </c>
      <c r="M4" s="245">
        <v>13</v>
      </c>
      <c r="N4" s="250"/>
      <c r="R4" s="239"/>
      <c r="S4" s="240"/>
      <c r="T4" s="240"/>
      <c r="U4" s="241"/>
      <c r="V4" s="240"/>
      <c r="W4" s="240"/>
      <c r="X4" s="240"/>
      <c r="Y4" s="241"/>
      <c r="Z4" s="240"/>
      <c r="AA4" s="240"/>
      <c r="AB4" s="239"/>
      <c r="AC4" s="242"/>
      <c r="AD4" s="240"/>
      <c r="AE4" s="239"/>
      <c r="AF4" s="239"/>
      <c r="AG4" s="240"/>
      <c r="AH4" s="240"/>
    </row>
    <row r="5" spans="1:296" ht="15" customHeight="1" x14ac:dyDescent="0.25">
      <c r="A5" s="251" t="s">
        <v>230</v>
      </c>
      <c r="B5" s="252">
        <v>42522</v>
      </c>
      <c r="C5" s="252">
        <v>42552</v>
      </c>
      <c r="D5" s="252">
        <v>42583</v>
      </c>
      <c r="E5" s="252">
        <v>42614</v>
      </c>
      <c r="F5" s="252">
        <v>42644</v>
      </c>
      <c r="G5" s="252">
        <v>42675</v>
      </c>
      <c r="H5" s="252">
        <v>42705</v>
      </c>
      <c r="I5" s="252">
        <v>42736</v>
      </c>
      <c r="J5" s="252">
        <v>42767</v>
      </c>
      <c r="K5" s="252">
        <v>42795</v>
      </c>
      <c r="L5" s="252">
        <v>42826</v>
      </c>
      <c r="M5" s="252">
        <v>42856</v>
      </c>
      <c r="N5" s="253" t="s">
        <v>12</v>
      </c>
      <c r="R5" s="254" t="s">
        <v>57</v>
      </c>
      <c r="S5" s="254" t="s">
        <v>59</v>
      </c>
      <c r="T5" s="254" t="s">
        <v>2</v>
      </c>
      <c r="U5" s="255"/>
      <c r="V5" s="254" t="s">
        <v>57</v>
      </c>
      <c r="W5" s="254" t="s">
        <v>59</v>
      </c>
      <c r="X5" s="254" t="s">
        <v>2</v>
      </c>
      <c r="Y5" s="255"/>
      <c r="Z5" s="254" t="s">
        <v>57</v>
      </c>
      <c r="AA5" s="254" t="s">
        <v>59</v>
      </c>
      <c r="AB5" s="254" t="s">
        <v>2</v>
      </c>
      <c r="AC5" s="242"/>
      <c r="AD5" s="254" t="s">
        <v>57</v>
      </c>
      <c r="AE5" s="254" t="s">
        <v>59</v>
      </c>
      <c r="AF5" s="254" t="s">
        <v>2</v>
      </c>
      <c r="AG5" s="238"/>
      <c r="AL5" s="257" t="s">
        <v>57</v>
      </c>
      <c r="AM5" s="257" t="s">
        <v>59</v>
      </c>
      <c r="AN5" s="257" t="s">
        <v>2</v>
      </c>
      <c r="AO5" s="258"/>
      <c r="AP5" s="257" t="s">
        <v>57</v>
      </c>
      <c r="AQ5" s="257" t="s">
        <v>59</v>
      </c>
      <c r="AR5" s="257" t="s">
        <v>2</v>
      </c>
      <c r="AS5" s="248"/>
      <c r="AT5" s="257" t="str">
        <f>AP5</f>
        <v>Nomination Group</v>
      </c>
      <c r="AU5" s="257" t="str">
        <f>AQ5</f>
        <v xml:space="preserve">Actual </v>
      </c>
      <c r="AV5" s="257" t="s">
        <v>2</v>
      </c>
      <c r="AW5" s="246"/>
      <c r="AX5" s="257" t="str">
        <f>AT5</f>
        <v>Nomination Group</v>
      </c>
      <c r="AY5" s="257" t="str">
        <f t="shared" ref="AY5:AZ5" si="0">AU5</f>
        <v xml:space="preserve">Actual </v>
      </c>
      <c r="AZ5" s="259" t="str">
        <f t="shared" si="0"/>
        <v>Normal</v>
      </c>
      <c r="BA5" s="260"/>
      <c r="BB5" s="260"/>
      <c r="BC5" s="260"/>
      <c r="BD5" s="260"/>
      <c r="BE5" s="260"/>
      <c r="BF5" s="244"/>
      <c r="BG5" s="257" t="s">
        <v>57</v>
      </c>
      <c r="BH5" s="257" t="s">
        <v>59</v>
      </c>
      <c r="BI5" s="257" t="s">
        <v>2</v>
      </c>
      <c r="BJ5" s="244"/>
      <c r="BK5" s="257" t="s">
        <v>57</v>
      </c>
      <c r="BL5" s="257" t="s">
        <v>59</v>
      </c>
      <c r="BM5" s="257" t="s">
        <v>2</v>
      </c>
      <c r="BN5" s="244"/>
      <c r="BO5" s="257" t="s">
        <v>57</v>
      </c>
      <c r="BP5" s="257" t="s">
        <v>59</v>
      </c>
      <c r="BQ5" s="257" t="s">
        <v>2</v>
      </c>
      <c r="BR5" s="243"/>
      <c r="BS5" s="257" t="str">
        <f>BO5</f>
        <v>Nomination Group</v>
      </c>
      <c r="BT5" s="257" t="str">
        <f t="shared" ref="BT5" si="1">BP5</f>
        <v xml:space="preserve">Actual </v>
      </c>
      <c r="BU5" s="257" t="str">
        <f t="shared" ref="BU5" si="2">BQ5</f>
        <v>Normal</v>
      </c>
      <c r="BV5" s="260"/>
      <c r="BW5" s="260"/>
      <c r="BX5" s="260"/>
      <c r="BY5" s="260"/>
      <c r="BZ5" s="260"/>
      <c r="CA5" s="260"/>
      <c r="CB5" s="244"/>
      <c r="CC5" s="244"/>
      <c r="CD5" s="243" t="s">
        <v>57</v>
      </c>
      <c r="CE5" s="243" t="s">
        <v>59</v>
      </c>
      <c r="CF5" s="243" t="s">
        <v>2</v>
      </c>
      <c r="CG5" s="244"/>
      <c r="CH5" s="243" t="s">
        <v>57</v>
      </c>
      <c r="CI5" s="243" t="s">
        <v>59</v>
      </c>
      <c r="CJ5" s="243" t="s">
        <v>2</v>
      </c>
      <c r="CK5" s="244"/>
      <c r="CL5" s="243" t="s">
        <v>57</v>
      </c>
      <c r="CM5" s="243" t="s">
        <v>59</v>
      </c>
      <c r="CN5" s="243" t="s">
        <v>2</v>
      </c>
    </row>
    <row r="6" spans="1:296" ht="15" customHeight="1" x14ac:dyDescent="0.25">
      <c r="A6" s="261" t="s">
        <v>82</v>
      </c>
      <c r="B6" s="261">
        <v>0.55339998006820679</v>
      </c>
      <c r="C6" s="262">
        <v>0.57349997758865356</v>
      </c>
      <c r="D6" s="262">
        <v>0.57039999961853027</v>
      </c>
      <c r="E6" s="262">
        <v>0.54900002479553223</v>
      </c>
      <c r="F6" s="262">
        <v>0.56419998407363892</v>
      </c>
      <c r="G6" s="262">
        <v>0.5429999828338623</v>
      </c>
      <c r="H6" s="262">
        <v>0.55489999055862427</v>
      </c>
      <c r="I6" s="262">
        <v>0.55180001258850098</v>
      </c>
      <c r="J6" s="262">
        <v>0.49559998512268066</v>
      </c>
      <c r="K6" s="262">
        <v>0.54559999704360962</v>
      </c>
      <c r="L6" s="262">
        <v>0.52499997615814209</v>
      </c>
      <c r="M6" s="263">
        <v>0.53939998149871826</v>
      </c>
      <c r="N6" s="264">
        <f>SUM(B6:M6)</f>
        <v>6.5657998919487</v>
      </c>
      <c r="O6" s="265"/>
      <c r="Q6" s="266"/>
      <c r="R6" s="267" t="str">
        <f>A6</f>
        <v>ACEJD PC</v>
      </c>
      <c r="S6" s="268">
        <f t="shared" ref="S6:S34" si="3">VLOOKUP(R6,$R$118:$S$208,2,FALSE)</f>
        <v>0.57999999999999996</v>
      </c>
      <c r="T6" s="269">
        <f>IFERROR(VLOOKUP(R6,$A$6:$M$105,2,FALSE),"")</f>
        <v>0.55339998006820679</v>
      </c>
      <c r="U6" s="270"/>
      <c r="V6" s="267" t="str">
        <f>R6</f>
        <v>ACEJD PC</v>
      </c>
      <c r="W6" s="268">
        <f>VLOOKUP(V6,$V$118:$W$209,2,FALSE)</f>
        <v>0.47</v>
      </c>
      <c r="X6" s="269">
        <f>IFERROR(VLOOKUP(V6,$A$6:$M$105,3,FALSE),"")</f>
        <v>0.57349997758865356</v>
      </c>
      <c r="Y6" s="270"/>
      <c r="Z6" s="267" t="str">
        <f>R6</f>
        <v>ACEJD PC</v>
      </c>
      <c r="AA6" s="268">
        <f>VLOOKUP(Z6,$Z$118:$AA$209,2,FALSE)</f>
        <v>0.72</v>
      </c>
      <c r="AB6" s="269">
        <f>IFERROR(VLOOKUP(Z6,$A$6:$M$105,4,FALSE),"")</f>
        <v>0.57039999961853027</v>
      </c>
      <c r="AC6" s="270"/>
      <c r="AD6" s="267" t="str">
        <f>R6</f>
        <v>ACEJD PC</v>
      </c>
      <c r="AE6" s="268">
        <f>SUM(S6,W6,AA6)</f>
        <v>1.7699999999999998</v>
      </c>
      <c r="AF6" s="269">
        <f>SUM(T6,X6,AB6)</f>
        <v>1.6972999572753906</v>
      </c>
      <c r="AG6" s="271"/>
      <c r="AH6" s="271"/>
      <c r="AI6" s="271"/>
      <c r="AJ6" s="271"/>
      <c r="AK6" s="271"/>
      <c r="AL6" s="272" t="str">
        <f>AD6</f>
        <v>ACEJD PC</v>
      </c>
      <c r="AM6" s="273">
        <f>IFERROR(VLOOKUP(AL6,$AL$118:$AM$203,2,FALSE),0)</f>
        <v>0.69</v>
      </c>
      <c r="AN6" s="273">
        <f>IFERROR(VLOOKUP(AL6,$A$6:$M$105,5,FALSE),"")</f>
        <v>0.54900002479553223</v>
      </c>
      <c r="AO6" s="274"/>
      <c r="AP6" s="275" t="str">
        <f>AL6</f>
        <v>ACEJD PC</v>
      </c>
      <c r="AQ6" s="275">
        <f>IFERROR(VLOOKUP(AP6,$AP$118:$AQ$203,2,FALSE),0)</f>
        <v>0.71</v>
      </c>
      <c r="AR6" s="273">
        <f>IFERROR(VLOOKUP($AP6,$A$6:$M$105,6,FALSE),"")</f>
        <v>0.56419998407363892</v>
      </c>
      <c r="AS6" s="276"/>
      <c r="AT6" s="275" t="str">
        <f>AP6</f>
        <v>ACEJD PC</v>
      </c>
      <c r="AU6" s="273">
        <f>IFERROR(VLOOKUP(AT6,$AT$118:$AU$203,2,FALSE),0)</f>
        <v>0.65</v>
      </c>
      <c r="AV6" s="273">
        <f>IFERROR(VLOOKUP($AT6,$A$6:$M$105,7,FALSE),"")</f>
        <v>0.5429999828338623</v>
      </c>
      <c r="AW6" s="277"/>
      <c r="AX6" s="278" t="str">
        <f>AT6</f>
        <v>ACEJD PC</v>
      </c>
      <c r="AY6" s="279">
        <f>SUM(AM6,AQ6,AU6)</f>
        <v>2.0499999999999998</v>
      </c>
      <c r="AZ6" s="279">
        <f>SUM(AN6,AR6,AV6)</f>
        <v>1.6561999917030334</v>
      </c>
      <c r="BA6" s="270"/>
      <c r="BB6" s="270"/>
      <c r="BC6" s="270"/>
      <c r="BD6" s="270"/>
      <c r="BE6" s="270"/>
      <c r="BF6" s="280"/>
      <c r="BG6" s="267" t="str">
        <f>R6</f>
        <v>ACEJD PC</v>
      </c>
      <c r="BH6" s="268">
        <f>IFERROR(VLOOKUP($BG6,$BG$111:$BH$197,2,FALSE),0)</f>
        <v>0.67</v>
      </c>
      <c r="BI6" s="269">
        <f>IFERROR(VLOOKUP($BG6,$A$6:$M$105,8,FALSE),"")</f>
        <v>0.55489999055862427</v>
      </c>
      <c r="BJ6" s="280"/>
      <c r="BK6" s="267" t="str">
        <f>R6</f>
        <v>ACEJD PC</v>
      </c>
      <c r="BL6" s="268">
        <f>IFERROR(VLOOKUP($BK6,$BK$111:$BL$195,2,FALSE),0)</f>
        <v>0.82</v>
      </c>
      <c r="BM6" s="269">
        <f>IFERROR(VLOOKUP($BK6,$A$6:$M$105,9,FALSE),"")</f>
        <v>0.55180001258850098</v>
      </c>
      <c r="BN6" s="281"/>
      <c r="BO6" s="267" t="str">
        <f>A6</f>
        <v>ACEJD PC</v>
      </c>
      <c r="BP6" s="268">
        <f>IFERROR(VLOOKUP($BO6,$BO$111:$BP$195,2,FALSE),0)</f>
        <v>0.59</v>
      </c>
      <c r="BQ6" s="269">
        <f t="shared" ref="BQ6:BQ37" si="4">IFERROR(VLOOKUP($BO6,$A$6:$M$105,10,FALSE),0)</f>
        <v>0.49559998512268066</v>
      </c>
      <c r="BR6" s="280"/>
      <c r="BS6" s="282" t="str">
        <f>A6</f>
        <v>ACEJD PC</v>
      </c>
      <c r="BT6" s="268">
        <f>SUM(BH6,BL6,BP6)</f>
        <v>2.08</v>
      </c>
      <c r="BU6" s="269">
        <f>SUM(BI6,BM6,BQ6)</f>
        <v>1.6022999882698059</v>
      </c>
      <c r="BV6" s="281"/>
      <c r="BW6" s="281"/>
      <c r="BX6" s="281"/>
      <c r="BY6" s="281"/>
      <c r="BZ6" s="281"/>
      <c r="CA6" s="281"/>
      <c r="CB6" s="281"/>
      <c r="CC6" s="280"/>
      <c r="CD6" s="283" t="str">
        <f>A6</f>
        <v>ACEJD PC</v>
      </c>
      <c r="CE6" s="283">
        <v>2.7</v>
      </c>
      <c r="CF6" s="283">
        <f>IFERROR(VLOOKUP($A6,$A$6:$M$105,11,FALSE),"")</f>
        <v>0.54559999704360962</v>
      </c>
      <c r="CG6" s="280"/>
      <c r="CH6" s="283" t="str">
        <f>A6</f>
        <v>ACEJD PC</v>
      </c>
      <c r="CI6" s="283">
        <v>2.7</v>
      </c>
      <c r="CJ6" s="284">
        <f>IFERROR(VLOOKUP($A6,$A$6:$M$105,12,FALSE),"")</f>
        <v>0.52499997615814209</v>
      </c>
      <c r="CK6" s="280"/>
      <c r="CL6" s="283" t="str">
        <f>A6</f>
        <v>ACEJD PC</v>
      </c>
      <c r="CM6" s="283">
        <v>2.7</v>
      </c>
      <c r="CN6" s="284">
        <f>IFERROR(VLOOKUP($A6,$A$6:$M$105,13,FALSE),"")</f>
        <v>0.53939998149871826</v>
      </c>
      <c r="CO6" s="285"/>
      <c r="CQ6" s="285"/>
      <c r="CR6" s="285"/>
      <c r="CS6" s="285"/>
      <c r="CT6" s="285"/>
      <c r="CU6" s="285"/>
      <c r="CW6" s="285"/>
      <c r="CY6" s="285"/>
      <c r="CZ6" s="285"/>
      <c r="DA6" s="285"/>
      <c r="DB6" s="285"/>
      <c r="DC6" s="285"/>
      <c r="DD6" s="285"/>
      <c r="DF6" s="285"/>
      <c r="DG6" s="285"/>
      <c r="DH6" s="285"/>
      <c r="DI6" s="285"/>
      <c r="DJ6" s="285"/>
      <c r="DL6" s="285"/>
      <c r="DN6" s="285"/>
      <c r="DO6" s="285"/>
      <c r="DP6" s="285"/>
      <c r="DQ6" s="285"/>
      <c r="DR6" s="285"/>
      <c r="DS6" s="285"/>
      <c r="DU6" s="285"/>
      <c r="DV6" s="285"/>
      <c r="DW6" s="285"/>
      <c r="DX6" s="285"/>
      <c r="DY6" s="285"/>
      <c r="EA6" s="285"/>
      <c r="EC6" s="285"/>
      <c r="ED6" s="285"/>
      <c r="EE6" s="285"/>
      <c r="EF6" s="285"/>
      <c r="EG6" s="285"/>
      <c r="EH6" s="285"/>
      <c r="EJ6" s="285"/>
      <c r="EK6" s="285"/>
      <c r="EL6" s="285"/>
      <c r="EM6" s="285"/>
      <c r="EN6" s="285"/>
      <c r="EP6" s="285"/>
      <c r="ER6" s="285"/>
      <c r="ES6" s="285"/>
      <c r="ET6" s="285"/>
      <c r="EU6" s="285"/>
      <c r="EV6" s="285"/>
      <c r="EW6" s="285"/>
      <c r="EY6" s="285"/>
      <c r="EZ6" s="285"/>
      <c r="FA6" s="285"/>
      <c r="FB6" s="285"/>
      <c r="FC6" s="285"/>
      <c r="FE6" s="285"/>
      <c r="FG6" s="285"/>
      <c r="FH6" s="285"/>
      <c r="FI6" s="285"/>
      <c r="FJ6" s="285"/>
      <c r="FK6" s="285"/>
      <c r="FL6" s="285"/>
      <c r="FN6" s="285"/>
      <c r="FO6" s="285"/>
      <c r="FP6" s="285"/>
      <c r="FQ6" s="285"/>
      <c r="FR6" s="285"/>
      <c r="FT6" s="285"/>
      <c r="FV6" s="285"/>
      <c r="FW6" s="285"/>
      <c r="FX6" s="285"/>
      <c r="FY6" s="285"/>
      <c r="FZ6" s="285"/>
      <c r="GA6" s="285"/>
      <c r="GC6" s="285"/>
      <c r="GD6" s="285"/>
      <c r="GE6" s="285"/>
      <c r="GF6" s="285"/>
      <c r="GG6" s="285"/>
      <c r="GI6" s="285"/>
      <c r="GK6" s="285"/>
      <c r="GL6" s="285"/>
      <c r="GM6" s="285"/>
      <c r="GN6" s="285"/>
      <c r="GO6" s="285"/>
      <c r="GP6" s="285"/>
      <c r="GR6" s="285"/>
      <c r="GS6" s="285"/>
      <c r="GT6" s="285"/>
      <c r="GU6" s="285"/>
      <c r="GV6" s="285"/>
      <c r="GX6" s="285"/>
      <c r="GZ6" s="285"/>
      <c r="HA6" s="285"/>
      <c r="HB6" s="285"/>
      <c r="HC6" s="285"/>
      <c r="HD6" s="285"/>
      <c r="HE6" s="285"/>
      <c r="HG6" s="285"/>
      <c r="HH6" s="285"/>
      <c r="HI6" s="285"/>
      <c r="HJ6" s="285"/>
      <c r="HK6" s="285"/>
      <c r="HM6" s="285"/>
      <c r="HO6" s="285"/>
      <c r="HP6" s="285"/>
      <c r="HQ6" s="285"/>
      <c r="HR6" s="285"/>
      <c r="HS6" s="285"/>
      <c r="HT6" s="285"/>
      <c r="HV6" s="285"/>
      <c r="HW6" s="285"/>
      <c r="HX6" s="285"/>
      <c r="HY6" s="285"/>
      <c r="HZ6" s="285"/>
      <c r="IB6" s="285"/>
      <c r="ID6" s="285"/>
      <c r="IE6" s="285"/>
      <c r="IF6" s="285"/>
      <c r="IG6" s="285"/>
      <c r="IH6" s="285"/>
      <c r="II6" s="285"/>
      <c r="IK6" s="285"/>
      <c r="IL6" s="285"/>
      <c r="IM6" s="285"/>
      <c r="IN6" s="285"/>
      <c r="IO6" s="285"/>
      <c r="IQ6" s="285"/>
      <c r="IS6" s="285"/>
      <c r="IT6" s="285"/>
      <c r="IU6" s="285"/>
      <c r="IV6" s="285"/>
      <c r="IW6" s="285"/>
      <c r="IX6" s="285"/>
      <c r="IZ6" s="285"/>
      <c r="JA6" s="285"/>
      <c r="JB6" s="285"/>
      <c r="JC6" s="285"/>
      <c r="JD6" s="285"/>
      <c r="JF6" s="285"/>
      <c r="JH6" s="285"/>
      <c r="JI6" s="285"/>
      <c r="JJ6" s="285"/>
      <c r="JK6" s="285"/>
      <c r="JL6" s="285"/>
      <c r="JM6" s="285"/>
      <c r="JO6" s="285"/>
      <c r="JP6" s="285"/>
      <c r="JQ6" s="285"/>
      <c r="JR6" s="285"/>
      <c r="JS6" s="285"/>
      <c r="JU6" s="285"/>
      <c r="JW6" s="285"/>
      <c r="JX6" s="285"/>
      <c r="JY6" s="285"/>
      <c r="JZ6" s="285"/>
      <c r="KA6" s="285"/>
      <c r="KB6" s="285"/>
      <c r="KD6" s="285"/>
      <c r="KE6" s="285"/>
      <c r="KF6" s="285"/>
      <c r="KG6" s="285"/>
      <c r="KH6" s="285"/>
      <c r="KJ6" s="285"/>
    </row>
    <row r="7" spans="1:296" ht="15" customHeight="1" x14ac:dyDescent="0.25">
      <c r="A7" s="286" t="s">
        <v>152</v>
      </c>
      <c r="B7" s="286">
        <v>13.677000045776367</v>
      </c>
      <c r="C7" s="287">
        <v>13.742300033569336</v>
      </c>
      <c r="D7" s="287">
        <v>13.388899803161621</v>
      </c>
      <c r="E7" s="287">
        <v>12.638999938964844</v>
      </c>
      <c r="F7" s="287">
        <v>12.759599685668945</v>
      </c>
      <c r="G7" s="287">
        <v>12.074999809265137</v>
      </c>
      <c r="H7" s="287">
        <v>12.217100143432617</v>
      </c>
      <c r="I7" s="287">
        <v>11.972200393676758</v>
      </c>
      <c r="J7" s="287">
        <v>10.603599548339844</v>
      </c>
      <c r="K7" s="287">
        <v>11.522700309753418</v>
      </c>
      <c r="L7" s="287">
        <v>10.953000068664551</v>
      </c>
      <c r="M7" s="288">
        <v>11.122799873352051</v>
      </c>
      <c r="N7" s="289">
        <f t="shared" ref="N7:N70" si="5">SUM(B7:M7)</f>
        <v>146.67319965362549</v>
      </c>
      <c r="O7" s="265"/>
      <c r="Q7" s="266"/>
      <c r="R7" s="272" t="str">
        <f t="shared" ref="R7:R70" si="6">A7</f>
        <v>ACEJDMT D24</v>
      </c>
      <c r="S7" s="290">
        <f t="shared" si="3"/>
        <v>12.62</v>
      </c>
      <c r="T7" s="291">
        <f>IFERROR(VLOOKUP(R7,$A$6:$M$105,2,FALSE),"")</f>
        <v>13.677000045776367</v>
      </c>
      <c r="U7" s="270"/>
      <c r="V7" s="272" t="str">
        <f t="shared" ref="V7:V70" si="7">R7</f>
        <v>ACEJDMT D24</v>
      </c>
      <c r="W7" s="290">
        <f>VLOOKUP(V7,$V$118:$W$209,2,FALSE)</f>
        <v>14.23</v>
      </c>
      <c r="X7" s="291">
        <f t="shared" ref="X7:X70" si="8">IFERROR(VLOOKUP(V7,$A$6:$M$105,3,FALSE),"")</f>
        <v>13.742300033569336</v>
      </c>
      <c r="Y7" s="270"/>
      <c r="Z7" s="272" t="str">
        <f t="shared" ref="Z7:Z70" si="9">R7</f>
        <v>ACEJDMT D24</v>
      </c>
      <c r="AA7" s="290">
        <f>VLOOKUP(Z7,$Z$118:$AA$209,2,FALSE)</f>
        <v>16.98</v>
      </c>
      <c r="AB7" s="291">
        <f t="shared" ref="AB7:AB70" si="10">IFERROR(VLOOKUP(Z7,$A$6:$M$105,4,FALSE),"")</f>
        <v>13.388899803161621</v>
      </c>
      <c r="AC7" s="270"/>
      <c r="AD7" s="272" t="str">
        <f t="shared" ref="AD7:AD70" si="11">R7</f>
        <v>ACEJDMT D24</v>
      </c>
      <c r="AE7" s="290">
        <f t="shared" ref="AE7" si="12">SUM(S7,W7,AA7)</f>
        <v>43.83</v>
      </c>
      <c r="AF7" s="291">
        <f t="shared" ref="AF7" si="13">SUM(T7,X7,AB7)</f>
        <v>40.808199882507324</v>
      </c>
      <c r="AG7" s="271"/>
      <c r="AH7" s="271"/>
      <c r="AI7" s="271"/>
      <c r="AJ7" s="271"/>
      <c r="AK7" s="271"/>
      <c r="AL7" s="272" t="str">
        <f t="shared" ref="AL7:AL70" si="14">AD7</f>
        <v>ACEJDMT D24</v>
      </c>
      <c r="AM7" s="273">
        <f t="shared" ref="AM7:AM72" si="15">IFERROR(VLOOKUP(AL7,$AL$118:$AM$203,2,FALSE),0)</f>
        <v>14.81</v>
      </c>
      <c r="AN7" s="273">
        <f t="shared" ref="AN7:AN70" si="16">IFERROR(VLOOKUP(AL7,$A$6:$M$105,5,FALSE),"")</f>
        <v>12.638999938964844</v>
      </c>
      <c r="AO7" s="274"/>
      <c r="AP7" s="275" t="str">
        <f t="shared" ref="AP7:AP70" si="17">AL7</f>
        <v>ACEJDMT D24</v>
      </c>
      <c r="AQ7" s="275">
        <f t="shared" ref="AQ7:AQ70" si="18">IFERROR(VLOOKUP(AP7,$AP$118:$AQ$203,2,FALSE),0)</f>
        <v>13.95</v>
      </c>
      <c r="AR7" s="273">
        <f t="shared" ref="AR7:AR70" si="19">IFERROR(VLOOKUP($AP7,$A$6:$M$105,6,FALSE),"")</f>
        <v>12.759599685668945</v>
      </c>
      <c r="AS7" s="276"/>
      <c r="AT7" s="275" t="str">
        <f t="shared" ref="AT7:AT70" si="20">AP7</f>
        <v>ACEJDMT D24</v>
      </c>
      <c r="AU7" s="273">
        <f t="shared" ref="AU7:AU70" si="21">IFERROR(VLOOKUP(AT7,$AT$118:$AU$203,2,FALSE),0)</f>
        <v>17.07</v>
      </c>
      <c r="AV7" s="273">
        <f t="shared" ref="AV7:AV70" si="22">IFERROR(VLOOKUP($AT7,$A$6:$M$105,7,FALSE),"")</f>
        <v>12.074999809265137</v>
      </c>
      <c r="AW7" s="277"/>
      <c r="AX7" s="275" t="str">
        <f t="shared" ref="AX7:AX70" si="23">AT7</f>
        <v>ACEJDMT D24</v>
      </c>
      <c r="AY7" s="273">
        <f t="shared" ref="AY7:AY15" si="24">SUM(AM7,AQ7,AU7)</f>
        <v>45.83</v>
      </c>
      <c r="AZ7" s="273">
        <f t="shared" ref="AZ7:AZ15" si="25">SUM(AN7,AR7,AV7)</f>
        <v>37.473599433898926</v>
      </c>
      <c r="BA7" s="270"/>
      <c r="BB7" s="270"/>
      <c r="BC7" s="270"/>
      <c r="BD7" s="270"/>
      <c r="BE7" s="270"/>
      <c r="BF7" s="280"/>
      <c r="BG7" s="272" t="str">
        <f t="shared" ref="BG7:BG70" si="26">R7</f>
        <v>ACEJDMT D24</v>
      </c>
      <c r="BH7" s="290">
        <f t="shared" ref="BH7:BH70" si="27">IFERROR(VLOOKUP($BG7,$BG$111:$BH$197,2,FALSE),0)</f>
        <v>17.27</v>
      </c>
      <c r="BI7" s="291">
        <f>IFERROR(VLOOKUP($BG7,$A$6:$M$105,8,FALSE),"")</f>
        <v>12.217100143432617</v>
      </c>
      <c r="BJ7" s="280"/>
      <c r="BK7" s="272" t="str">
        <f t="shared" ref="BK7:BK70" si="28">R7</f>
        <v>ACEJDMT D24</v>
      </c>
      <c r="BL7" s="290">
        <f>IFERROR(VLOOKUP($BK7,$BK$111:$BL$195,2,FALSE),0)</f>
        <v>17.22</v>
      </c>
      <c r="BM7" s="290">
        <f>IFERROR(VLOOKUP($BK7,$A$6:$M$105,9,FALSE),"")</f>
        <v>11.972200393676758</v>
      </c>
      <c r="BN7" s="281"/>
      <c r="BO7" s="292" t="str">
        <f>A7</f>
        <v>ACEJDMT D24</v>
      </c>
      <c r="BP7" s="290">
        <f>IFERROR(VLOOKUP($BO7,$BO$111:$BP$195,2,FALSE),0)</f>
        <v>14.31</v>
      </c>
      <c r="BQ7" s="291">
        <f t="shared" si="4"/>
        <v>10.603599548339844</v>
      </c>
      <c r="BR7" s="280"/>
      <c r="BS7" s="293" t="str">
        <f>A7</f>
        <v>ACEJDMT D24</v>
      </c>
      <c r="BT7" s="290">
        <f t="shared" ref="BT7:BT16" si="29">SUM(BH7,BL7,BP7)</f>
        <v>48.8</v>
      </c>
      <c r="BU7" s="291">
        <f t="shared" ref="BU7:BU16" si="30">SUM(BI7,BM7,BQ7)</f>
        <v>34.792900085449219</v>
      </c>
      <c r="BV7" s="281"/>
      <c r="BW7" s="281"/>
      <c r="BX7" s="281"/>
      <c r="BY7" s="281"/>
      <c r="BZ7" s="281"/>
      <c r="CA7" s="281"/>
      <c r="CB7" s="281"/>
      <c r="CC7" s="280"/>
      <c r="CD7" s="280" t="str">
        <f t="shared" ref="CD7:CD70" si="31">A7</f>
        <v>ACEJDMT D24</v>
      </c>
      <c r="CE7" s="280">
        <v>3.7</v>
      </c>
      <c r="CF7" s="280">
        <f>IFERROR(VLOOKUP($A7,$A$6:$M$105,11,FALSE),"")</f>
        <v>11.522700309753418</v>
      </c>
      <c r="CG7" s="280"/>
      <c r="CH7" s="280" t="str">
        <f t="shared" ref="CH7:CH70" si="32">A7</f>
        <v>ACEJDMT D24</v>
      </c>
      <c r="CI7" s="280">
        <v>3.7</v>
      </c>
      <c r="CJ7" s="284">
        <f t="shared" ref="CJ7:CJ70" si="33">IFERROR(VLOOKUP($A7,$A$6:$M$105,12,FALSE),"")</f>
        <v>10.953000068664551</v>
      </c>
      <c r="CK7" s="280"/>
      <c r="CL7" s="280" t="str">
        <f t="shared" ref="CL7:CL70" si="34">A7</f>
        <v>ACEJDMT D24</v>
      </c>
      <c r="CM7" s="280">
        <v>3.7</v>
      </c>
      <c r="CN7" s="284">
        <f t="shared" ref="CN7:CN70" si="35">IFERROR(VLOOKUP($A7,$A$6:$M$105,13,FALSE),"")</f>
        <v>11.122799873352051</v>
      </c>
    </row>
    <row r="8" spans="1:296" ht="15" customHeight="1" x14ac:dyDescent="0.25">
      <c r="A8" s="286" t="s">
        <v>181</v>
      </c>
      <c r="B8" s="286">
        <v>5.3856000900268555</v>
      </c>
      <c r="C8" s="287">
        <v>5.5644998550415039</v>
      </c>
      <c r="D8" s="287">
        <v>5.5335001945495605</v>
      </c>
      <c r="E8" s="287">
        <v>5.3280000686645508</v>
      </c>
      <c r="F8" s="287">
        <v>5.4777002334594727</v>
      </c>
      <c r="G8" s="287">
        <v>5.2740001678466797</v>
      </c>
      <c r="H8" s="287">
        <v>5.4218997955322266</v>
      </c>
      <c r="I8" s="287">
        <v>5.3940000534057617</v>
      </c>
      <c r="J8" s="287">
        <v>4.8467998504638672</v>
      </c>
      <c r="K8" s="287">
        <v>5.3382000923156738</v>
      </c>
      <c r="L8" s="287">
        <v>5.1389999389648437</v>
      </c>
      <c r="M8" s="288">
        <v>5.2824001312255859</v>
      </c>
      <c r="N8" s="289">
        <f t="shared" si="5"/>
        <v>63.985600471496582</v>
      </c>
      <c r="O8" s="265"/>
      <c r="Q8" s="266"/>
      <c r="R8" s="272" t="str">
        <f t="shared" si="6"/>
        <v>ACEJDMT PC</v>
      </c>
      <c r="S8" s="290">
        <f t="shared" si="3"/>
        <v>5.0999999999999996</v>
      </c>
      <c r="T8" s="291">
        <f t="shared" ref="T8:T71" si="36">IFERROR(VLOOKUP(R8,$A$6:$M$105,2,FALSE),"")</f>
        <v>5.3856000900268555</v>
      </c>
      <c r="U8" s="270"/>
      <c r="V8" s="272" t="str">
        <f t="shared" si="7"/>
        <v>ACEJDMT PC</v>
      </c>
      <c r="W8" s="290">
        <f t="shared" ref="W8:W71" si="37">VLOOKUP(V8,$V$118:$W$209,2,FALSE)</f>
        <v>4.93</v>
      </c>
      <c r="X8" s="291">
        <f t="shared" si="8"/>
        <v>5.5644998550415039</v>
      </c>
      <c r="Y8" s="270"/>
      <c r="Z8" s="272" t="str">
        <f t="shared" si="9"/>
        <v>ACEJDMT PC</v>
      </c>
      <c r="AA8" s="290">
        <f t="shared" ref="AA8:AA71" si="38">VLOOKUP(Z8,$Z$118:$AA$209,2,FALSE)</f>
        <v>5.16</v>
      </c>
      <c r="AB8" s="291">
        <f t="shared" si="10"/>
        <v>5.5335001945495605</v>
      </c>
      <c r="AC8" s="270"/>
      <c r="AD8" s="272" t="str">
        <f t="shared" si="11"/>
        <v>ACEJDMT PC</v>
      </c>
      <c r="AE8" s="290">
        <f t="shared" ref="AE8:AE39" si="39">SUM(S8,W8,AA8)</f>
        <v>15.19</v>
      </c>
      <c r="AF8" s="291">
        <f t="shared" ref="AF8:AF39" si="40">SUM(T8,X8,AB8)</f>
        <v>16.48360013961792</v>
      </c>
      <c r="AG8" s="271"/>
      <c r="AH8" s="271"/>
      <c r="AI8" s="271"/>
      <c r="AJ8" s="271"/>
      <c r="AK8" s="271"/>
      <c r="AL8" s="272" t="str">
        <f t="shared" si="14"/>
        <v>ACEJDMT PC</v>
      </c>
      <c r="AM8" s="273">
        <f t="shared" si="15"/>
        <v>5.0999999999999996</v>
      </c>
      <c r="AN8" s="273">
        <f t="shared" si="16"/>
        <v>5.3280000686645508</v>
      </c>
      <c r="AO8" s="274"/>
      <c r="AP8" s="275" t="str">
        <f t="shared" si="17"/>
        <v>ACEJDMT PC</v>
      </c>
      <c r="AQ8" s="275">
        <f t="shared" si="18"/>
        <v>4.8</v>
      </c>
      <c r="AR8" s="273">
        <f t="shared" si="19"/>
        <v>5.4777002334594727</v>
      </c>
      <c r="AS8" s="276"/>
      <c r="AT8" s="275" t="str">
        <f t="shared" si="20"/>
        <v>ACEJDMT PC</v>
      </c>
      <c r="AU8" s="273">
        <f t="shared" si="21"/>
        <v>4.96</v>
      </c>
      <c r="AV8" s="273">
        <f t="shared" si="22"/>
        <v>5.2740001678466797</v>
      </c>
      <c r="AW8" s="277"/>
      <c r="AX8" s="275" t="str">
        <f t="shared" si="23"/>
        <v>ACEJDMT PC</v>
      </c>
      <c r="AY8" s="273">
        <f t="shared" si="24"/>
        <v>14.86</v>
      </c>
      <c r="AZ8" s="273">
        <f t="shared" si="25"/>
        <v>16.079700469970703</v>
      </c>
      <c r="BA8" s="270"/>
      <c r="BB8" s="270"/>
      <c r="BC8" s="270"/>
      <c r="BD8" s="270"/>
      <c r="BE8" s="270"/>
      <c r="BF8" s="280"/>
      <c r="BG8" s="272" t="str">
        <f t="shared" si="26"/>
        <v>ACEJDMT PC</v>
      </c>
      <c r="BH8" s="290">
        <f t="shared" si="27"/>
        <v>4.5</v>
      </c>
      <c r="BI8" s="291">
        <f t="shared" ref="BI8:BI71" si="41">IFERROR(VLOOKUP($BG8,$A$6:$M$105,8,FALSE),"")</f>
        <v>5.4218997955322266</v>
      </c>
      <c r="BJ8" s="280"/>
      <c r="BK8" s="272" t="str">
        <f t="shared" si="28"/>
        <v>ACEJDMT PC</v>
      </c>
      <c r="BL8" s="290">
        <f t="shared" ref="BL8:BL71" si="42">IFERROR(VLOOKUP($BK8,$BK$111:$BL$195,2,FALSE),0)</f>
        <v>4.13</v>
      </c>
      <c r="BM8" s="290">
        <f t="shared" ref="BM8:BM71" si="43">IFERROR(VLOOKUP($BK8,$A$6:$M$105,9,FALSE),"")</f>
        <v>5.3940000534057617</v>
      </c>
      <c r="BN8" s="281"/>
      <c r="BO8" s="292" t="str">
        <f t="shared" ref="BO8:BO71" si="44">A8</f>
        <v>ACEJDMT PC</v>
      </c>
      <c r="BP8" s="290">
        <f t="shared" ref="BP8:BP71" si="45">IFERROR(VLOOKUP($BO8,$BO$111:$BP$195,2,FALSE),0)</f>
        <v>4.08</v>
      </c>
      <c r="BQ8" s="291">
        <f t="shared" si="4"/>
        <v>4.8467998504638672</v>
      </c>
      <c r="BR8" s="280"/>
      <c r="BS8" s="293" t="str">
        <f t="shared" ref="BS8:BS71" si="46">A8</f>
        <v>ACEJDMT PC</v>
      </c>
      <c r="BT8" s="290">
        <f t="shared" si="29"/>
        <v>12.709999999999999</v>
      </c>
      <c r="BU8" s="291">
        <f t="shared" si="30"/>
        <v>15.662699699401855</v>
      </c>
      <c r="BV8" s="281"/>
      <c r="BW8" s="281"/>
      <c r="BX8" s="281"/>
      <c r="BY8" s="281"/>
      <c r="BZ8" s="281"/>
      <c r="CA8" s="281"/>
      <c r="CB8" s="281"/>
      <c r="CC8" s="280"/>
      <c r="CD8" s="280" t="str">
        <f t="shared" si="31"/>
        <v>ACEJDMT PC</v>
      </c>
      <c r="CE8" s="280">
        <v>4.7</v>
      </c>
      <c r="CF8" s="280">
        <f t="shared" ref="CF8:CF71" si="47">IFERROR(VLOOKUP($A8,$A$6:$M$105,11,FALSE),"")</f>
        <v>5.3382000923156738</v>
      </c>
      <c r="CG8" s="280"/>
      <c r="CH8" s="280" t="str">
        <f t="shared" si="32"/>
        <v>ACEJDMT PC</v>
      </c>
      <c r="CI8" s="280">
        <v>4.7</v>
      </c>
      <c r="CJ8" s="284">
        <f t="shared" si="33"/>
        <v>5.1389999389648437</v>
      </c>
      <c r="CK8" s="280"/>
      <c r="CL8" s="280" t="str">
        <f t="shared" si="34"/>
        <v>ACEJDMT PC</v>
      </c>
      <c r="CM8" s="280">
        <v>4.7</v>
      </c>
      <c r="CN8" s="284">
        <f t="shared" si="35"/>
        <v>5.2824001312255859</v>
      </c>
    </row>
    <row r="9" spans="1:296" ht="15" customHeight="1" x14ac:dyDescent="0.25">
      <c r="A9" s="286" t="s">
        <v>153</v>
      </c>
      <c r="B9" s="286">
        <v>134.76600646972656</v>
      </c>
      <c r="C9" s="287">
        <v>138.3778076171875</v>
      </c>
      <c r="D9" s="287">
        <v>137.49740600585938</v>
      </c>
      <c r="E9" s="287">
        <v>132.22200012207031</v>
      </c>
      <c r="F9" s="287">
        <v>135.74589538574219</v>
      </c>
      <c r="G9" s="287">
        <v>130.54200744628906</v>
      </c>
      <c r="H9" s="287">
        <v>134.02850341796875</v>
      </c>
      <c r="I9" s="287">
        <v>133.17599487304687</v>
      </c>
      <c r="J9" s="287">
        <v>119.52359771728516</v>
      </c>
      <c r="K9" s="287">
        <v>131.49270629882813</v>
      </c>
      <c r="L9" s="287">
        <v>126.43800354003906</v>
      </c>
      <c r="M9" s="288">
        <v>129.82490539550781</v>
      </c>
      <c r="N9" s="289">
        <f t="shared" si="5"/>
        <v>1583.6348342895508</v>
      </c>
      <c r="O9" s="265"/>
      <c r="Q9" s="266"/>
      <c r="R9" s="272" t="str">
        <f t="shared" si="6"/>
        <v>BIRCH CREEK</v>
      </c>
      <c r="S9" s="290">
        <f t="shared" si="3"/>
        <v>160.58000000000001</v>
      </c>
      <c r="T9" s="291">
        <f t="shared" si="36"/>
        <v>134.76600646972656</v>
      </c>
      <c r="U9" s="270"/>
      <c r="V9" s="272" t="str">
        <f t="shared" si="7"/>
        <v>BIRCH CREEK</v>
      </c>
      <c r="W9" s="290">
        <f t="shared" si="37"/>
        <v>177.52</v>
      </c>
      <c r="X9" s="291">
        <f t="shared" si="8"/>
        <v>138.3778076171875</v>
      </c>
      <c r="Y9" s="270"/>
      <c r="Z9" s="272" t="str">
        <f t="shared" si="9"/>
        <v>BIRCH CREEK</v>
      </c>
      <c r="AA9" s="290">
        <f t="shared" si="38"/>
        <v>178.58</v>
      </c>
      <c r="AB9" s="291">
        <f t="shared" si="10"/>
        <v>137.49740600585938</v>
      </c>
      <c r="AC9" s="270"/>
      <c r="AD9" s="272" t="str">
        <f t="shared" si="11"/>
        <v>BIRCH CREEK</v>
      </c>
      <c r="AE9" s="290">
        <f t="shared" si="39"/>
        <v>516.68000000000006</v>
      </c>
      <c r="AF9" s="291">
        <f t="shared" si="40"/>
        <v>410.64122009277344</v>
      </c>
      <c r="AG9" s="271"/>
      <c r="AH9" s="271"/>
      <c r="AI9" s="271"/>
      <c r="AJ9" s="271"/>
      <c r="AK9" s="271"/>
      <c r="AL9" s="272" t="str">
        <f t="shared" si="14"/>
        <v>BIRCH CREEK</v>
      </c>
      <c r="AM9" s="273">
        <f t="shared" si="15"/>
        <v>173.58</v>
      </c>
      <c r="AN9" s="273">
        <f t="shared" si="16"/>
        <v>132.22200012207031</v>
      </c>
      <c r="AO9" s="274"/>
      <c r="AP9" s="275" t="str">
        <f t="shared" si="17"/>
        <v>BIRCH CREEK</v>
      </c>
      <c r="AQ9" s="275">
        <f t="shared" si="18"/>
        <v>164.95</v>
      </c>
      <c r="AR9" s="273">
        <f t="shared" si="19"/>
        <v>135.74589538574219</v>
      </c>
      <c r="AS9" s="276"/>
      <c r="AT9" s="275" t="str">
        <f t="shared" si="20"/>
        <v>BIRCH CREEK</v>
      </c>
      <c r="AU9" s="273">
        <f t="shared" si="21"/>
        <v>161.66999999999999</v>
      </c>
      <c r="AV9" s="273">
        <f t="shared" si="22"/>
        <v>130.54200744628906</v>
      </c>
      <c r="AW9" s="277"/>
      <c r="AX9" s="275" t="str">
        <f t="shared" si="23"/>
        <v>BIRCH CREEK</v>
      </c>
      <c r="AY9" s="273">
        <f t="shared" si="24"/>
        <v>500.19999999999993</v>
      </c>
      <c r="AZ9" s="273">
        <f t="shared" si="25"/>
        <v>398.50990295410156</v>
      </c>
      <c r="BA9" s="270"/>
      <c r="BB9" s="270"/>
      <c r="BC9" s="270"/>
      <c r="BD9" s="270"/>
      <c r="BE9" s="270"/>
      <c r="BF9" s="280"/>
      <c r="BG9" s="272" t="str">
        <f t="shared" si="26"/>
        <v>BIRCH CREEK</v>
      </c>
      <c r="BH9" s="290">
        <f t="shared" si="27"/>
        <v>145.35</v>
      </c>
      <c r="BI9" s="291">
        <f t="shared" si="41"/>
        <v>134.02850341796875</v>
      </c>
      <c r="BJ9" s="280"/>
      <c r="BK9" s="272" t="str">
        <f t="shared" si="28"/>
        <v>BIRCH CREEK</v>
      </c>
      <c r="BL9" s="290">
        <f t="shared" si="42"/>
        <v>139.38999999999999</v>
      </c>
      <c r="BM9" s="290">
        <f t="shared" si="43"/>
        <v>133.17599487304687</v>
      </c>
      <c r="BN9" s="281"/>
      <c r="BO9" s="292" t="str">
        <f t="shared" si="44"/>
        <v>BIRCH CREEK</v>
      </c>
      <c r="BP9" s="290">
        <f t="shared" si="45"/>
        <v>94.16</v>
      </c>
      <c r="BQ9" s="291">
        <f t="shared" si="4"/>
        <v>119.52359771728516</v>
      </c>
      <c r="BR9" s="280"/>
      <c r="BS9" s="293" t="str">
        <f t="shared" si="46"/>
        <v>BIRCH CREEK</v>
      </c>
      <c r="BT9" s="290">
        <f t="shared" si="29"/>
        <v>378.9</v>
      </c>
      <c r="BU9" s="291">
        <f t="shared" si="30"/>
        <v>386.72809600830078</v>
      </c>
      <c r="BV9" s="281"/>
      <c r="BW9" s="281"/>
      <c r="BX9" s="281"/>
      <c r="BY9" s="281"/>
      <c r="BZ9" s="281"/>
      <c r="CA9" s="281"/>
      <c r="CB9" s="281"/>
      <c r="CC9" s="280"/>
      <c r="CD9" s="280" t="str">
        <f t="shared" si="31"/>
        <v>BIRCH CREEK</v>
      </c>
      <c r="CE9" s="280">
        <v>5.7</v>
      </c>
      <c r="CF9" s="280">
        <f t="shared" si="47"/>
        <v>131.49270629882813</v>
      </c>
      <c r="CG9" s="280"/>
      <c r="CH9" s="280" t="str">
        <f t="shared" si="32"/>
        <v>BIRCH CREEK</v>
      </c>
      <c r="CI9" s="280">
        <v>5.7</v>
      </c>
      <c r="CJ9" s="284">
        <f t="shared" si="33"/>
        <v>126.43800354003906</v>
      </c>
      <c r="CK9" s="280"/>
      <c r="CL9" s="280" t="str">
        <f t="shared" si="34"/>
        <v>BIRCH CREEK</v>
      </c>
      <c r="CM9" s="280">
        <v>5.7</v>
      </c>
      <c r="CN9" s="284">
        <f t="shared" si="35"/>
        <v>129.82490539550781</v>
      </c>
    </row>
    <row r="10" spans="1:296" ht="15" customHeight="1" x14ac:dyDescent="0.25">
      <c r="A10" s="294" t="s">
        <v>223</v>
      </c>
      <c r="B10" s="286">
        <v>2.6730000972747803</v>
      </c>
      <c r="C10" s="287">
        <v>2.7465999126434326</v>
      </c>
      <c r="D10" s="287">
        <v>2.7342000007629395</v>
      </c>
      <c r="E10" s="287">
        <v>2.6310000419616699</v>
      </c>
      <c r="F10" s="287">
        <v>2.7063000202178955</v>
      </c>
      <c r="G10" s="287">
        <v>2.6040000915527344</v>
      </c>
      <c r="H10" s="287">
        <v>2.6784000396728516</v>
      </c>
      <c r="I10" s="287">
        <v>2.6628999710083008</v>
      </c>
      <c r="J10" s="287">
        <v>2.3940000534057617</v>
      </c>
      <c r="K10" s="287">
        <v>2.6349999904632568</v>
      </c>
      <c r="L10" s="287">
        <v>2.5380001068115234</v>
      </c>
      <c r="M10" s="288">
        <v>2.6101999282836914</v>
      </c>
      <c r="N10" s="289">
        <f t="shared" si="5"/>
        <v>31.613600254058838</v>
      </c>
      <c r="O10" s="265"/>
      <c r="Q10" s="266"/>
      <c r="R10" s="272" t="str">
        <f t="shared" si="6"/>
        <v>BKSPUNT6MTPC</v>
      </c>
      <c r="S10" s="290">
        <f t="shared" si="3"/>
        <v>7.46</v>
      </c>
      <c r="T10" s="291">
        <f t="shared" si="36"/>
        <v>2.6730000972747803</v>
      </c>
      <c r="U10" s="270"/>
      <c r="V10" s="272" t="str">
        <f t="shared" si="7"/>
        <v>BKSPUNT6MTPC</v>
      </c>
      <c r="W10" s="290">
        <f t="shared" si="37"/>
        <v>6.9</v>
      </c>
      <c r="X10" s="291">
        <f t="shared" si="8"/>
        <v>2.7465999126434326</v>
      </c>
      <c r="Y10" s="270"/>
      <c r="Z10" s="272" t="str">
        <f t="shared" si="9"/>
        <v>BKSPUNT6MTPC</v>
      </c>
      <c r="AA10" s="290">
        <f t="shared" si="38"/>
        <v>4.0599999999999996</v>
      </c>
      <c r="AB10" s="291">
        <f t="shared" si="10"/>
        <v>2.7342000007629395</v>
      </c>
      <c r="AC10" s="270"/>
      <c r="AD10" s="272" t="str">
        <f t="shared" si="11"/>
        <v>BKSPUNT6MTPC</v>
      </c>
      <c r="AE10" s="290">
        <f t="shared" si="39"/>
        <v>18.419999999999998</v>
      </c>
      <c r="AF10" s="291">
        <f t="shared" si="40"/>
        <v>8.1538000106811523</v>
      </c>
      <c r="AG10" s="271"/>
      <c r="AH10" s="271"/>
      <c r="AI10" s="271"/>
      <c r="AJ10" s="271"/>
      <c r="AK10" s="271"/>
      <c r="AL10" s="272" t="str">
        <f t="shared" si="14"/>
        <v>BKSPUNT6MTPC</v>
      </c>
      <c r="AM10" s="273">
        <f t="shared" si="15"/>
        <v>3.82</v>
      </c>
      <c r="AN10" s="273">
        <f t="shared" si="16"/>
        <v>2.6310000419616699</v>
      </c>
      <c r="AO10" s="274"/>
      <c r="AP10" s="275" t="str">
        <f t="shared" si="17"/>
        <v>BKSPUNT6MTPC</v>
      </c>
      <c r="AQ10" s="275">
        <f t="shared" si="18"/>
        <v>3.71</v>
      </c>
      <c r="AR10" s="273">
        <f t="shared" si="19"/>
        <v>2.7063000202178955</v>
      </c>
      <c r="AS10" s="276"/>
      <c r="AT10" s="275" t="str">
        <f t="shared" si="20"/>
        <v>BKSPUNT6MTPC</v>
      </c>
      <c r="AU10" s="273">
        <f t="shared" si="21"/>
        <v>3.18</v>
      </c>
      <c r="AV10" s="273">
        <f t="shared" si="22"/>
        <v>2.6040000915527344</v>
      </c>
      <c r="AW10" s="277"/>
      <c r="AX10" s="275" t="str">
        <f t="shared" si="23"/>
        <v>BKSPUNT6MTPC</v>
      </c>
      <c r="AY10" s="273">
        <f t="shared" si="24"/>
        <v>10.709999999999999</v>
      </c>
      <c r="AZ10" s="273">
        <f t="shared" si="25"/>
        <v>7.9413001537322998</v>
      </c>
      <c r="BA10" s="270"/>
      <c r="BB10" s="270"/>
      <c r="BC10" s="270"/>
      <c r="BD10" s="270"/>
      <c r="BE10" s="270"/>
      <c r="BF10" s="280"/>
      <c r="BG10" s="272" t="str">
        <f t="shared" si="26"/>
        <v>BKSPUNT6MTPC</v>
      </c>
      <c r="BH10" s="290">
        <f t="shared" si="27"/>
        <v>3.23</v>
      </c>
      <c r="BI10" s="291">
        <f t="shared" si="41"/>
        <v>2.6784000396728516</v>
      </c>
      <c r="BJ10" s="280"/>
      <c r="BK10" s="272" t="str">
        <f t="shared" si="28"/>
        <v>BKSPUNT6MTPC</v>
      </c>
      <c r="BL10" s="290">
        <f t="shared" si="42"/>
        <v>1.79</v>
      </c>
      <c r="BM10" s="290">
        <f t="shared" si="43"/>
        <v>2.6628999710083008</v>
      </c>
      <c r="BN10" s="281"/>
      <c r="BO10" s="292" t="str">
        <f t="shared" si="44"/>
        <v>BKSPUNT6MTPC</v>
      </c>
      <c r="BP10" s="290">
        <f t="shared" si="45"/>
        <v>0</v>
      </c>
      <c r="BQ10" s="291">
        <f t="shared" si="4"/>
        <v>2.3940000534057617</v>
      </c>
      <c r="BR10" s="280"/>
      <c r="BS10" s="293" t="str">
        <f t="shared" si="46"/>
        <v>BKSPUNT6MTPC</v>
      </c>
      <c r="BT10" s="290">
        <f t="shared" si="29"/>
        <v>5.0199999999999996</v>
      </c>
      <c r="BU10" s="291">
        <f t="shared" si="30"/>
        <v>7.7353000640869141</v>
      </c>
      <c r="BV10" s="281"/>
      <c r="BW10" s="281"/>
      <c r="BX10" s="281"/>
      <c r="BY10" s="281"/>
      <c r="BZ10" s="281"/>
      <c r="CA10" s="281"/>
      <c r="CB10" s="281"/>
      <c r="CC10" s="280"/>
      <c r="CD10" s="280" t="str">
        <f t="shared" si="31"/>
        <v>BKSPUNT6MTPC</v>
      </c>
      <c r="CE10" s="280">
        <v>6.7</v>
      </c>
      <c r="CF10" s="280">
        <f t="shared" si="47"/>
        <v>2.6349999904632568</v>
      </c>
      <c r="CG10" s="280"/>
      <c r="CH10" s="280" t="str">
        <f t="shared" si="32"/>
        <v>BKSPUNT6MTPC</v>
      </c>
      <c r="CI10" s="280">
        <v>6.7</v>
      </c>
      <c r="CJ10" s="284">
        <f t="shared" si="33"/>
        <v>2.5380001068115234</v>
      </c>
      <c r="CK10" s="280"/>
      <c r="CL10" s="280" t="str">
        <f t="shared" si="34"/>
        <v>BKSPUNT6MTPC</v>
      </c>
      <c r="CM10" s="280">
        <v>6.7</v>
      </c>
      <c r="CN10" s="284">
        <f t="shared" si="35"/>
        <v>2.6101999282836914</v>
      </c>
    </row>
    <row r="11" spans="1:296" ht="15" customHeight="1" x14ac:dyDescent="0.25">
      <c r="A11" s="286" t="s">
        <v>83</v>
      </c>
      <c r="B11" s="286">
        <v>2.6099998950958252</v>
      </c>
      <c r="C11" s="287">
        <v>2.6814999580383301</v>
      </c>
      <c r="D11" s="287">
        <v>2.6628999710083008</v>
      </c>
      <c r="E11" s="287">
        <v>2.562000036239624</v>
      </c>
      <c r="F11" s="287">
        <v>2.6319000720977783</v>
      </c>
      <c r="G11" s="287">
        <v>2.5320000648498535</v>
      </c>
      <c r="H11" s="287">
        <v>2.6008999347686768</v>
      </c>
      <c r="I11" s="287">
        <v>2.5854001045227051</v>
      </c>
      <c r="J11" s="287">
        <v>2.321199893951416</v>
      </c>
      <c r="K11" s="287">
        <v>2.5543999671936035</v>
      </c>
      <c r="L11" s="287">
        <v>2.4570000171661377</v>
      </c>
      <c r="M11" s="288">
        <v>2.5234000682830811</v>
      </c>
      <c r="N11" s="289">
        <f t="shared" si="5"/>
        <v>30.722599983215332</v>
      </c>
      <c r="O11" s="265"/>
      <c r="Q11" s="266"/>
      <c r="R11" s="272" t="str">
        <f t="shared" si="6"/>
        <v>BRFM D24</v>
      </c>
      <c r="S11" s="290">
        <f t="shared" si="3"/>
        <v>2.79</v>
      </c>
      <c r="T11" s="291">
        <f t="shared" si="36"/>
        <v>2.6099998950958252</v>
      </c>
      <c r="U11" s="270"/>
      <c r="V11" s="272" t="str">
        <f t="shared" si="7"/>
        <v>BRFM D24</v>
      </c>
      <c r="W11" s="290">
        <f t="shared" si="37"/>
        <v>2.75</v>
      </c>
      <c r="X11" s="291">
        <f t="shared" si="8"/>
        <v>2.6814999580383301</v>
      </c>
      <c r="Y11" s="270"/>
      <c r="Z11" s="272" t="str">
        <f t="shared" si="9"/>
        <v>BRFM D24</v>
      </c>
      <c r="AA11" s="290">
        <f t="shared" si="38"/>
        <v>3.23</v>
      </c>
      <c r="AB11" s="291">
        <f t="shared" si="10"/>
        <v>2.6628999710083008</v>
      </c>
      <c r="AC11" s="270"/>
      <c r="AD11" s="272" t="str">
        <f t="shared" si="11"/>
        <v>BRFM D24</v>
      </c>
      <c r="AE11" s="290">
        <f t="shared" si="39"/>
        <v>8.77</v>
      </c>
      <c r="AF11" s="291">
        <f t="shared" si="40"/>
        <v>7.9543998241424561</v>
      </c>
      <c r="AG11" s="271"/>
      <c r="AH11" s="271"/>
      <c r="AI11" s="271"/>
      <c r="AJ11" s="271"/>
      <c r="AK11" s="271"/>
      <c r="AL11" s="272" t="str">
        <f t="shared" si="14"/>
        <v>BRFM D24</v>
      </c>
      <c r="AM11" s="273">
        <f t="shared" si="15"/>
        <v>2.85</v>
      </c>
      <c r="AN11" s="273">
        <f t="shared" si="16"/>
        <v>2.562000036239624</v>
      </c>
      <c r="AO11" s="274"/>
      <c r="AP11" s="275" t="str">
        <f t="shared" si="17"/>
        <v>BRFM D24</v>
      </c>
      <c r="AQ11" s="275">
        <f t="shared" si="18"/>
        <v>2.97</v>
      </c>
      <c r="AR11" s="273">
        <f t="shared" si="19"/>
        <v>2.6319000720977783</v>
      </c>
      <c r="AS11" s="276"/>
      <c r="AT11" s="275" t="str">
        <f t="shared" si="20"/>
        <v>BRFM D24</v>
      </c>
      <c r="AU11" s="273">
        <f t="shared" si="21"/>
        <v>2.84</v>
      </c>
      <c r="AV11" s="273">
        <f t="shared" si="22"/>
        <v>2.5320000648498535</v>
      </c>
      <c r="AW11" s="277"/>
      <c r="AX11" s="275" t="str">
        <f t="shared" si="23"/>
        <v>BRFM D24</v>
      </c>
      <c r="AY11" s="273">
        <f t="shared" si="24"/>
        <v>8.66</v>
      </c>
      <c r="AZ11" s="273">
        <f t="shared" si="25"/>
        <v>7.7259001731872559</v>
      </c>
      <c r="BA11" s="270"/>
      <c r="BB11" s="270"/>
      <c r="BC11" s="270"/>
      <c r="BD11" s="270"/>
      <c r="BE11" s="270"/>
      <c r="BF11" s="280"/>
      <c r="BG11" s="272" t="str">
        <f t="shared" si="26"/>
        <v>BRFM D24</v>
      </c>
      <c r="BH11" s="290">
        <f t="shared" si="27"/>
        <v>2.65</v>
      </c>
      <c r="BI11" s="291">
        <f t="shared" si="41"/>
        <v>2.6008999347686768</v>
      </c>
      <c r="BJ11" s="280"/>
      <c r="BK11" s="272" t="str">
        <f>BG11</f>
        <v>BRFM D24</v>
      </c>
      <c r="BL11" s="290">
        <f t="shared" si="42"/>
        <v>2.73</v>
      </c>
      <c r="BM11" s="290">
        <f t="shared" si="43"/>
        <v>2.5854001045227051</v>
      </c>
      <c r="BN11" s="281"/>
      <c r="BO11" s="292" t="str">
        <f t="shared" si="44"/>
        <v>BRFM D24</v>
      </c>
      <c r="BP11" s="290">
        <f t="shared" si="45"/>
        <v>2.16</v>
      </c>
      <c r="BQ11" s="291">
        <f t="shared" si="4"/>
        <v>2.321199893951416</v>
      </c>
      <c r="BR11" s="280"/>
      <c r="BS11" s="293" t="str">
        <f t="shared" si="46"/>
        <v>BRFM D24</v>
      </c>
      <c r="BT11" s="290">
        <f t="shared" si="29"/>
        <v>7.54</v>
      </c>
      <c r="BU11" s="291">
        <f t="shared" si="30"/>
        <v>7.5074999332427979</v>
      </c>
      <c r="BV11" s="281"/>
      <c r="BW11" s="281"/>
      <c r="BX11" s="281"/>
      <c r="BY11" s="281"/>
      <c r="BZ11" s="281"/>
      <c r="CA11" s="281"/>
      <c r="CB11" s="281"/>
      <c r="CC11" s="280"/>
      <c r="CD11" s="280" t="str">
        <f t="shared" si="31"/>
        <v>BRFM D24</v>
      </c>
      <c r="CE11" s="280">
        <v>7.7</v>
      </c>
      <c r="CF11" s="280">
        <f t="shared" si="47"/>
        <v>2.5543999671936035</v>
      </c>
      <c r="CG11" s="280"/>
      <c r="CH11" s="280" t="str">
        <f t="shared" si="32"/>
        <v>BRFM D24</v>
      </c>
      <c r="CI11" s="280">
        <v>7.7</v>
      </c>
      <c r="CJ11" s="284">
        <f t="shared" si="33"/>
        <v>2.4570000171661377</v>
      </c>
      <c r="CK11" s="280"/>
      <c r="CL11" s="280" t="str">
        <f t="shared" si="34"/>
        <v>BRFM D24</v>
      </c>
      <c r="CM11" s="280">
        <v>7.7</v>
      </c>
      <c r="CN11" s="284">
        <f t="shared" si="35"/>
        <v>2.5234000682830811</v>
      </c>
    </row>
    <row r="12" spans="1:296" ht="15" customHeight="1" x14ac:dyDescent="0.25">
      <c r="A12" s="286" t="s">
        <v>170</v>
      </c>
      <c r="B12" s="286">
        <v>0.19429999589920044</v>
      </c>
      <c r="C12" s="287">
        <v>3.2999999821186066E-2</v>
      </c>
      <c r="D12" s="287">
        <v>0.2046000063419342</v>
      </c>
      <c r="E12" s="287">
        <v>0.19799999892711639</v>
      </c>
      <c r="F12" s="287">
        <v>0.20149999856948853</v>
      </c>
      <c r="G12" s="287">
        <v>0.19499999284744263</v>
      </c>
      <c r="H12" s="287">
        <v>0.19840000569820404</v>
      </c>
      <c r="I12" s="287">
        <v>0.19840000569820404</v>
      </c>
      <c r="J12" s="287">
        <v>0.17640000581741333</v>
      </c>
      <c r="K12" s="287">
        <v>0.19529999792575836</v>
      </c>
      <c r="L12" s="287">
        <v>0.18600000441074371</v>
      </c>
      <c r="M12" s="288">
        <v>0.19220000505447388</v>
      </c>
      <c r="N12" s="289">
        <f t="shared" si="5"/>
        <v>2.1731000170111656</v>
      </c>
      <c r="O12" s="265"/>
      <c r="Q12" s="266"/>
      <c r="R12" s="272" t="str">
        <f t="shared" si="6"/>
        <v>BRFM PC</v>
      </c>
      <c r="S12" s="290">
        <f t="shared" si="3"/>
        <v>0.19</v>
      </c>
      <c r="T12" s="291">
        <f t="shared" si="36"/>
        <v>0.19429999589920044</v>
      </c>
      <c r="U12" s="270"/>
      <c r="V12" s="272" t="str">
        <f t="shared" si="7"/>
        <v>BRFM PC</v>
      </c>
      <c r="W12" s="290">
        <f t="shared" si="37"/>
        <v>0.21</v>
      </c>
      <c r="X12" s="291">
        <f t="shared" si="8"/>
        <v>3.2999999821186066E-2</v>
      </c>
      <c r="Y12" s="270"/>
      <c r="Z12" s="272" t="str">
        <f t="shared" si="9"/>
        <v>BRFM PC</v>
      </c>
      <c r="AA12" s="290">
        <f t="shared" si="38"/>
        <v>0.2</v>
      </c>
      <c r="AB12" s="291">
        <f t="shared" si="10"/>
        <v>0.2046000063419342</v>
      </c>
      <c r="AC12" s="270"/>
      <c r="AD12" s="272" t="str">
        <f t="shared" si="11"/>
        <v>BRFM PC</v>
      </c>
      <c r="AE12" s="290">
        <f t="shared" si="39"/>
        <v>0.60000000000000009</v>
      </c>
      <c r="AF12" s="291">
        <f t="shared" si="40"/>
        <v>0.43190000206232071</v>
      </c>
      <c r="AG12" s="271"/>
      <c r="AH12" s="271"/>
      <c r="AI12" s="271"/>
      <c r="AJ12" s="271"/>
      <c r="AK12" s="271"/>
      <c r="AL12" s="272" t="str">
        <f t="shared" si="14"/>
        <v>BRFM PC</v>
      </c>
      <c r="AM12" s="273">
        <f t="shared" si="15"/>
        <v>0.19</v>
      </c>
      <c r="AN12" s="273">
        <f t="shared" si="16"/>
        <v>0.19799999892711639</v>
      </c>
      <c r="AO12" s="274"/>
      <c r="AP12" s="275" t="str">
        <f t="shared" si="17"/>
        <v>BRFM PC</v>
      </c>
      <c r="AQ12" s="275">
        <f t="shared" si="18"/>
        <v>0.19</v>
      </c>
      <c r="AR12" s="273">
        <f t="shared" si="19"/>
        <v>0.20149999856948853</v>
      </c>
      <c r="AS12" s="276"/>
      <c r="AT12" s="275" t="str">
        <f t="shared" si="20"/>
        <v>BRFM PC</v>
      </c>
      <c r="AU12" s="273">
        <f t="shared" si="21"/>
        <v>0.17</v>
      </c>
      <c r="AV12" s="273">
        <f t="shared" si="22"/>
        <v>0.19499999284744263</v>
      </c>
      <c r="AW12" s="277"/>
      <c r="AX12" s="275" t="str">
        <f t="shared" si="23"/>
        <v>BRFM PC</v>
      </c>
      <c r="AY12" s="273">
        <f t="shared" si="24"/>
        <v>0.55000000000000004</v>
      </c>
      <c r="AZ12" s="273">
        <f t="shared" si="25"/>
        <v>0.59449999034404755</v>
      </c>
      <c r="BA12" s="270"/>
      <c r="BB12" s="270"/>
      <c r="BC12" s="270"/>
      <c r="BD12" s="270"/>
      <c r="BE12" s="270"/>
      <c r="BF12" s="280"/>
      <c r="BG12" s="272" t="str">
        <f t="shared" si="26"/>
        <v>BRFM PC</v>
      </c>
      <c r="BH12" s="290">
        <f t="shared" si="27"/>
        <v>0.17</v>
      </c>
      <c r="BI12" s="291">
        <f t="shared" si="41"/>
        <v>0.19840000569820404</v>
      </c>
      <c r="BJ12" s="280"/>
      <c r="BK12" s="272" t="str">
        <f t="shared" si="28"/>
        <v>BRFM PC</v>
      </c>
      <c r="BL12" s="290">
        <f t="shared" si="42"/>
        <v>0.18</v>
      </c>
      <c r="BM12" s="290">
        <f t="shared" si="43"/>
        <v>0.19840000569820404</v>
      </c>
      <c r="BN12" s="281"/>
      <c r="BO12" s="292" t="str">
        <f t="shared" si="44"/>
        <v>BRFM PC</v>
      </c>
      <c r="BP12" s="290">
        <f t="shared" si="45"/>
        <v>0.14000000000000001</v>
      </c>
      <c r="BQ12" s="291">
        <f t="shared" si="4"/>
        <v>0.17640000581741333</v>
      </c>
      <c r="BR12" s="280"/>
      <c r="BS12" s="293" t="str">
        <f t="shared" si="46"/>
        <v>BRFM PC</v>
      </c>
      <c r="BT12" s="290">
        <f t="shared" si="29"/>
        <v>0.49</v>
      </c>
      <c r="BU12" s="291">
        <f t="shared" si="30"/>
        <v>0.57320001721382141</v>
      </c>
      <c r="BV12" s="281"/>
      <c r="BW12" s="281"/>
      <c r="BX12" s="281"/>
      <c r="BY12" s="281"/>
      <c r="BZ12" s="281"/>
      <c r="CA12" s="281"/>
      <c r="CB12" s="281"/>
      <c r="CC12" s="280"/>
      <c r="CD12" s="280" t="str">
        <f t="shared" si="31"/>
        <v>BRFM PC</v>
      </c>
      <c r="CE12" s="280">
        <v>8.6999999999999993</v>
      </c>
      <c r="CF12" s="280">
        <f t="shared" si="47"/>
        <v>0.19529999792575836</v>
      </c>
      <c r="CG12" s="280"/>
      <c r="CH12" s="280" t="str">
        <f t="shared" si="32"/>
        <v>BRFM PC</v>
      </c>
      <c r="CI12" s="280">
        <v>8.6999999999999993</v>
      </c>
      <c r="CJ12" s="284">
        <f t="shared" si="33"/>
        <v>0.18600000441074371</v>
      </c>
      <c r="CK12" s="280"/>
      <c r="CL12" s="280" t="str">
        <f t="shared" si="34"/>
        <v>BRFM PC</v>
      </c>
      <c r="CM12" s="280">
        <v>8.6999999999999993</v>
      </c>
      <c r="CN12" s="284">
        <f t="shared" si="35"/>
        <v>0.19220000505447388</v>
      </c>
    </row>
    <row r="13" spans="1:296" ht="15" customHeight="1" x14ac:dyDescent="0.25">
      <c r="A13" s="286" t="s">
        <v>84</v>
      </c>
      <c r="B13" s="286">
        <v>205.38900756835937</v>
      </c>
      <c r="C13" s="287">
        <v>210.67909240722656</v>
      </c>
      <c r="D13" s="287">
        <v>209.13839721679687</v>
      </c>
      <c r="E13" s="287">
        <v>200.92799377441406</v>
      </c>
      <c r="F13" s="287">
        <v>206.1282958984375</v>
      </c>
      <c r="G13" s="287">
        <v>198.04800415039062</v>
      </c>
      <c r="H13" s="287">
        <v>203.19569396972656</v>
      </c>
      <c r="I13" s="287">
        <v>201.7510986328125</v>
      </c>
      <c r="J13" s="287">
        <v>180.93040466308594</v>
      </c>
      <c r="K13" s="287">
        <v>198.90530395507812</v>
      </c>
      <c r="L13" s="287">
        <v>191.13900756835937</v>
      </c>
      <c r="M13" s="288">
        <v>196.13079833984375</v>
      </c>
      <c r="N13" s="289">
        <f t="shared" si="5"/>
        <v>2402.3630981445312</v>
      </c>
      <c r="O13" s="265"/>
      <c r="P13" s="266"/>
      <c r="Q13" s="266"/>
      <c r="R13" s="272" t="str">
        <f t="shared" si="6"/>
        <v>BRFQ D24</v>
      </c>
      <c r="S13" s="290">
        <f t="shared" si="3"/>
        <v>211.47</v>
      </c>
      <c r="T13" s="291">
        <f t="shared" si="36"/>
        <v>205.38900756835937</v>
      </c>
      <c r="U13" s="270"/>
      <c r="V13" s="272" t="str">
        <f t="shared" si="7"/>
        <v>BRFQ D24</v>
      </c>
      <c r="W13" s="290">
        <f t="shared" si="37"/>
        <v>210.33</v>
      </c>
      <c r="X13" s="291">
        <f t="shared" si="8"/>
        <v>210.67909240722656</v>
      </c>
      <c r="Y13" s="270"/>
      <c r="Z13" s="272" t="str">
        <f t="shared" si="9"/>
        <v>BRFQ D24</v>
      </c>
      <c r="AA13" s="290">
        <f t="shared" si="38"/>
        <v>213.66</v>
      </c>
      <c r="AB13" s="291">
        <f t="shared" si="10"/>
        <v>209.13839721679687</v>
      </c>
      <c r="AC13" s="270"/>
      <c r="AD13" s="272" t="str">
        <f t="shared" si="11"/>
        <v>BRFQ D24</v>
      </c>
      <c r="AE13" s="290">
        <f t="shared" si="39"/>
        <v>635.46</v>
      </c>
      <c r="AF13" s="291">
        <f t="shared" si="40"/>
        <v>625.20649719238281</v>
      </c>
      <c r="AG13" s="271"/>
      <c r="AH13" s="271"/>
      <c r="AI13" s="271"/>
      <c r="AJ13" s="271"/>
      <c r="AK13" s="271"/>
      <c r="AL13" s="272" t="str">
        <f t="shared" si="14"/>
        <v>BRFQ D24</v>
      </c>
      <c r="AM13" s="273">
        <f t="shared" si="15"/>
        <v>204.24</v>
      </c>
      <c r="AN13" s="273">
        <f t="shared" si="16"/>
        <v>200.92799377441406</v>
      </c>
      <c r="AO13" s="274"/>
      <c r="AP13" s="275" t="str">
        <f t="shared" si="17"/>
        <v>BRFQ D24</v>
      </c>
      <c r="AQ13" s="275">
        <f t="shared" si="18"/>
        <v>196.31</v>
      </c>
      <c r="AR13" s="273">
        <f t="shared" si="19"/>
        <v>206.1282958984375</v>
      </c>
      <c r="AS13" s="276"/>
      <c r="AT13" s="275" t="str">
        <f t="shared" si="20"/>
        <v>BRFQ D24</v>
      </c>
      <c r="AU13" s="273">
        <f t="shared" si="21"/>
        <v>188.36</v>
      </c>
      <c r="AV13" s="273">
        <f t="shared" si="22"/>
        <v>198.04800415039062</v>
      </c>
      <c r="AW13" s="277"/>
      <c r="AX13" s="275" t="str">
        <f t="shared" si="23"/>
        <v>BRFQ D24</v>
      </c>
      <c r="AY13" s="273">
        <f t="shared" si="24"/>
        <v>588.91000000000008</v>
      </c>
      <c r="AZ13" s="273">
        <f t="shared" si="25"/>
        <v>605.10429382324219</v>
      </c>
      <c r="BA13" s="270"/>
      <c r="BB13" s="270"/>
      <c r="BC13" s="270"/>
      <c r="BD13" s="270"/>
      <c r="BE13" s="270"/>
      <c r="BF13" s="280"/>
      <c r="BG13" s="272" t="str">
        <f t="shared" si="26"/>
        <v>BRFQ D24</v>
      </c>
      <c r="BH13" s="290">
        <f t="shared" si="27"/>
        <v>176.66</v>
      </c>
      <c r="BI13" s="291">
        <f t="shared" si="41"/>
        <v>203.19569396972656</v>
      </c>
      <c r="BJ13" s="280"/>
      <c r="BK13" s="272" t="str">
        <f t="shared" si="28"/>
        <v>BRFQ D24</v>
      </c>
      <c r="BL13" s="290">
        <f t="shared" si="42"/>
        <v>153.94999999999999</v>
      </c>
      <c r="BM13" s="290">
        <f t="shared" si="43"/>
        <v>201.7510986328125</v>
      </c>
      <c r="BN13" s="281"/>
      <c r="BO13" s="292" t="str">
        <f t="shared" si="44"/>
        <v>BRFQ D24</v>
      </c>
      <c r="BP13" s="290">
        <f t="shared" si="45"/>
        <v>163.37</v>
      </c>
      <c r="BQ13" s="291">
        <f t="shared" si="4"/>
        <v>180.93040466308594</v>
      </c>
      <c r="BR13" s="280"/>
      <c r="BS13" s="293" t="str">
        <f t="shared" si="46"/>
        <v>BRFQ D24</v>
      </c>
      <c r="BT13" s="290">
        <f t="shared" si="29"/>
        <v>493.98</v>
      </c>
      <c r="BU13" s="291">
        <f t="shared" si="30"/>
        <v>585.877197265625</v>
      </c>
      <c r="BV13" s="281"/>
      <c r="BW13" s="281"/>
      <c r="BX13" s="281"/>
      <c r="BY13" s="281"/>
      <c r="BZ13" s="281"/>
      <c r="CA13" s="281"/>
      <c r="CB13" s="281"/>
      <c r="CC13" s="280"/>
      <c r="CD13" s="280" t="str">
        <f t="shared" si="31"/>
        <v>BRFQ D24</v>
      </c>
      <c r="CE13" s="280">
        <v>9.6999999999999993</v>
      </c>
      <c r="CF13" s="280">
        <f t="shared" si="47"/>
        <v>198.90530395507812</v>
      </c>
      <c r="CG13" s="280"/>
      <c r="CH13" s="280" t="str">
        <f t="shared" si="32"/>
        <v>BRFQ D24</v>
      </c>
      <c r="CI13" s="280">
        <v>9.6999999999999993</v>
      </c>
      <c r="CJ13" s="284">
        <f t="shared" si="33"/>
        <v>191.13900756835937</v>
      </c>
      <c r="CK13" s="280"/>
      <c r="CL13" s="280" t="str">
        <f t="shared" si="34"/>
        <v>BRFQ D24</v>
      </c>
      <c r="CM13" s="280">
        <v>9.6999999999999993</v>
      </c>
      <c r="CN13" s="284">
        <f t="shared" si="35"/>
        <v>196.13079833984375</v>
      </c>
    </row>
    <row r="14" spans="1:296" ht="15" customHeight="1" x14ac:dyDescent="0.25">
      <c r="A14" s="286" t="s">
        <v>85</v>
      </c>
      <c r="B14" s="286">
        <v>17.729999542236328</v>
      </c>
      <c r="C14" s="287">
        <v>18.212499618530273</v>
      </c>
      <c r="D14" s="287">
        <v>18.113300323486328</v>
      </c>
      <c r="E14" s="287">
        <v>17.427000045776367</v>
      </c>
      <c r="F14" s="287">
        <v>17.908700942993164</v>
      </c>
      <c r="G14" s="287">
        <v>17.235000610351563</v>
      </c>
      <c r="H14" s="287">
        <v>17.710300445556641</v>
      </c>
      <c r="I14" s="287">
        <v>17.611099243164062</v>
      </c>
      <c r="J14" s="287">
        <v>15.81719970703125</v>
      </c>
      <c r="K14" s="287">
        <v>17.418899536132813</v>
      </c>
      <c r="L14" s="287">
        <v>16.76099967956543</v>
      </c>
      <c r="M14" s="288">
        <v>17.229799270629883</v>
      </c>
      <c r="N14" s="289">
        <f t="shared" si="5"/>
        <v>209.1747989654541</v>
      </c>
      <c r="O14" s="265"/>
      <c r="P14" s="266"/>
      <c r="Q14" s="266"/>
      <c r="R14" s="272" t="str">
        <f t="shared" si="6"/>
        <v>BRFQ PC</v>
      </c>
      <c r="S14" s="290">
        <f t="shared" si="3"/>
        <v>25.57</v>
      </c>
      <c r="T14" s="291">
        <f t="shared" si="36"/>
        <v>17.729999542236328</v>
      </c>
      <c r="U14" s="270"/>
      <c r="V14" s="272" t="str">
        <f t="shared" si="7"/>
        <v>BRFQ PC</v>
      </c>
      <c r="W14" s="290">
        <f t="shared" si="37"/>
        <v>26.18</v>
      </c>
      <c r="X14" s="291">
        <f t="shared" si="8"/>
        <v>18.212499618530273</v>
      </c>
      <c r="Y14" s="270"/>
      <c r="Z14" s="272" t="str">
        <f t="shared" si="9"/>
        <v>BRFQ PC</v>
      </c>
      <c r="AA14" s="290">
        <f t="shared" si="38"/>
        <v>24.69</v>
      </c>
      <c r="AB14" s="291">
        <f t="shared" si="10"/>
        <v>18.113300323486328</v>
      </c>
      <c r="AC14" s="270"/>
      <c r="AD14" s="272" t="str">
        <f t="shared" si="11"/>
        <v>BRFQ PC</v>
      </c>
      <c r="AE14" s="290">
        <f t="shared" si="39"/>
        <v>76.44</v>
      </c>
      <c r="AF14" s="291">
        <f t="shared" si="40"/>
        <v>54.05579948425293</v>
      </c>
      <c r="AG14" s="271"/>
      <c r="AH14" s="271"/>
      <c r="AI14" s="271"/>
      <c r="AJ14" s="271"/>
      <c r="AK14" s="271"/>
      <c r="AL14" s="272" t="str">
        <f t="shared" si="14"/>
        <v>BRFQ PC</v>
      </c>
      <c r="AM14" s="273">
        <f t="shared" si="15"/>
        <v>23.2</v>
      </c>
      <c r="AN14" s="273">
        <f t="shared" si="16"/>
        <v>17.427000045776367</v>
      </c>
      <c r="AO14" s="274"/>
      <c r="AP14" s="275" t="str">
        <f t="shared" si="17"/>
        <v>BRFQ PC</v>
      </c>
      <c r="AQ14" s="275">
        <f t="shared" si="18"/>
        <v>25.05</v>
      </c>
      <c r="AR14" s="273">
        <f t="shared" si="19"/>
        <v>17.908700942993164</v>
      </c>
      <c r="AS14" s="276"/>
      <c r="AT14" s="275" t="str">
        <f t="shared" si="20"/>
        <v>BRFQ PC</v>
      </c>
      <c r="AU14" s="273">
        <f t="shared" si="21"/>
        <v>21.08</v>
      </c>
      <c r="AV14" s="273">
        <f t="shared" si="22"/>
        <v>17.235000610351563</v>
      </c>
      <c r="AW14" s="277"/>
      <c r="AX14" s="275" t="str">
        <f t="shared" si="23"/>
        <v>BRFQ PC</v>
      </c>
      <c r="AY14" s="273">
        <f t="shared" si="24"/>
        <v>69.33</v>
      </c>
      <c r="AZ14" s="273">
        <f t="shared" si="25"/>
        <v>52.570701599121094</v>
      </c>
      <c r="BA14" s="270"/>
      <c r="BB14" s="270"/>
      <c r="BC14" s="270"/>
      <c r="BD14" s="270"/>
      <c r="BE14" s="270"/>
      <c r="BF14" s="280"/>
      <c r="BG14" s="272" t="str">
        <f t="shared" si="26"/>
        <v>BRFQ PC</v>
      </c>
      <c r="BH14" s="290">
        <f t="shared" si="27"/>
        <v>21.28</v>
      </c>
      <c r="BI14" s="291">
        <f t="shared" si="41"/>
        <v>17.710300445556641</v>
      </c>
      <c r="BJ14" s="280"/>
      <c r="BK14" s="272" t="str">
        <f t="shared" si="28"/>
        <v>BRFQ PC</v>
      </c>
      <c r="BL14" s="290">
        <f t="shared" si="42"/>
        <v>20.52</v>
      </c>
      <c r="BM14" s="290">
        <f t="shared" si="43"/>
        <v>17.611099243164062</v>
      </c>
      <c r="BN14" s="281"/>
      <c r="BO14" s="292" t="str">
        <f t="shared" si="44"/>
        <v>BRFQ PC</v>
      </c>
      <c r="BP14" s="290">
        <f t="shared" si="45"/>
        <v>20.059999999999999</v>
      </c>
      <c r="BQ14" s="291">
        <f t="shared" si="4"/>
        <v>15.81719970703125</v>
      </c>
      <c r="BR14" s="280"/>
      <c r="BS14" s="293" t="str">
        <f t="shared" si="46"/>
        <v>BRFQ PC</v>
      </c>
      <c r="BT14" s="290">
        <f t="shared" si="29"/>
        <v>61.86</v>
      </c>
      <c r="BU14" s="291">
        <f t="shared" si="30"/>
        <v>51.138599395751953</v>
      </c>
      <c r="BV14" s="281"/>
      <c r="BW14" s="281"/>
      <c r="BX14" s="281"/>
      <c r="BY14" s="281"/>
      <c r="BZ14" s="281"/>
      <c r="CA14" s="281"/>
      <c r="CB14" s="281"/>
      <c r="CC14" s="280"/>
      <c r="CD14" s="280" t="str">
        <f t="shared" si="31"/>
        <v>BRFQ PC</v>
      </c>
      <c r="CE14" s="280">
        <v>10.7</v>
      </c>
      <c r="CF14" s="280">
        <f t="shared" si="47"/>
        <v>17.418899536132813</v>
      </c>
      <c r="CG14" s="280"/>
      <c r="CH14" s="280" t="str">
        <f t="shared" si="32"/>
        <v>BRFQ PC</v>
      </c>
      <c r="CI14" s="280">
        <v>10.7</v>
      </c>
      <c r="CJ14" s="284">
        <f t="shared" si="33"/>
        <v>16.76099967956543</v>
      </c>
      <c r="CK14" s="280"/>
      <c r="CL14" s="280" t="str">
        <f t="shared" si="34"/>
        <v>BRFQ PC</v>
      </c>
      <c r="CM14" s="280">
        <v>10.7</v>
      </c>
      <c r="CN14" s="284">
        <f t="shared" si="35"/>
        <v>17.229799270629883</v>
      </c>
    </row>
    <row r="15" spans="1:296" ht="15" customHeight="1" x14ac:dyDescent="0.25">
      <c r="A15" s="286" t="s">
        <v>86</v>
      </c>
      <c r="B15" s="286">
        <v>5.2020001411437988</v>
      </c>
      <c r="C15" s="287">
        <v>5.3319997787475586</v>
      </c>
      <c r="D15" s="287">
        <v>5.288599967956543</v>
      </c>
      <c r="E15" s="287">
        <v>5.0760002136230469</v>
      </c>
      <c r="F15" s="287">
        <v>5.2017998695373535</v>
      </c>
      <c r="G15" s="287">
        <v>4.994999885559082</v>
      </c>
      <c r="H15" s="287">
        <v>5.1181001663208008</v>
      </c>
      <c r="I15" s="287">
        <v>5.0777997970581055</v>
      </c>
      <c r="J15" s="287">
        <v>4.5500001907348633</v>
      </c>
      <c r="K15" s="287">
        <v>4.9941000938415527</v>
      </c>
      <c r="L15" s="287">
        <v>4.7940001487731934</v>
      </c>
      <c r="M15" s="288">
        <v>4.9134998321533203</v>
      </c>
      <c r="N15" s="289">
        <f t="shared" si="5"/>
        <v>60.542900085449219</v>
      </c>
      <c r="O15" s="265"/>
      <c r="P15" s="266"/>
      <c r="Q15" s="266"/>
      <c r="R15" s="272" t="str">
        <f t="shared" si="6"/>
        <v>BRFQMT D24</v>
      </c>
      <c r="S15" s="290">
        <f t="shared" si="3"/>
        <v>7.82</v>
      </c>
      <c r="T15" s="291">
        <f t="shared" si="36"/>
        <v>5.2020001411437988</v>
      </c>
      <c r="U15" s="270"/>
      <c r="V15" s="272" t="str">
        <f t="shared" si="7"/>
        <v>BRFQMT D24</v>
      </c>
      <c r="W15" s="290">
        <f t="shared" si="37"/>
        <v>8.02</v>
      </c>
      <c r="X15" s="291">
        <f t="shared" si="8"/>
        <v>5.3319997787475586</v>
      </c>
      <c r="Y15" s="270"/>
      <c r="Z15" s="272" t="str">
        <f t="shared" si="9"/>
        <v>BRFQMT D24</v>
      </c>
      <c r="AA15" s="290">
        <f t="shared" si="38"/>
        <v>12.82</v>
      </c>
      <c r="AB15" s="291">
        <f t="shared" si="10"/>
        <v>5.288599967956543</v>
      </c>
      <c r="AC15" s="270"/>
      <c r="AD15" s="272" t="str">
        <f t="shared" si="11"/>
        <v>BRFQMT D24</v>
      </c>
      <c r="AE15" s="290">
        <f t="shared" si="39"/>
        <v>28.66</v>
      </c>
      <c r="AF15" s="291">
        <f t="shared" si="40"/>
        <v>15.8225998878479</v>
      </c>
      <c r="AG15" s="271"/>
      <c r="AH15" s="271"/>
      <c r="AI15" s="271"/>
      <c r="AJ15" s="271"/>
      <c r="AK15" s="271"/>
      <c r="AL15" s="272" t="str">
        <f t="shared" si="14"/>
        <v>BRFQMT D24</v>
      </c>
      <c r="AM15" s="273">
        <f t="shared" si="15"/>
        <v>8.0399999999999991</v>
      </c>
      <c r="AN15" s="273">
        <f t="shared" si="16"/>
        <v>5.0760002136230469</v>
      </c>
      <c r="AO15" s="274"/>
      <c r="AP15" s="275" t="str">
        <f t="shared" si="17"/>
        <v>BRFQMT D24</v>
      </c>
      <c r="AQ15" s="275">
        <f t="shared" si="18"/>
        <v>6.99</v>
      </c>
      <c r="AR15" s="273">
        <f t="shared" si="19"/>
        <v>5.2017998695373535</v>
      </c>
      <c r="AS15" s="276"/>
      <c r="AT15" s="275" t="str">
        <f t="shared" si="20"/>
        <v>BRFQMT D24</v>
      </c>
      <c r="AU15" s="273">
        <f t="shared" si="21"/>
        <v>6.98</v>
      </c>
      <c r="AV15" s="273">
        <f t="shared" si="22"/>
        <v>4.994999885559082</v>
      </c>
      <c r="AW15" s="277"/>
      <c r="AX15" s="275" t="str">
        <f t="shared" si="23"/>
        <v>BRFQMT D24</v>
      </c>
      <c r="AY15" s="273">
        <f t="shared" si="24"/>
        <v>22.009999999999998</v>
      </c>
      <c r="AZ15" s="273">
        <f t="shared" si="25"/>
        <v>15.272799968719482</v>
      </c>
      <c r="BA15" s="270"/>
      <c r="BB15" s="270"/>
      <c r="BC15" s="270"/>
      <c r="BD15" s="270"/>
      <c r="BE15" s="270"/>
      <c r="BF15" s="280"/>
      <c r="BG15" s="272" t="str">
        <f t="shared" si="26"/>
        <v>BRFQMT D24</v>
      </c>
      <c r="BH15" s="290">
        <f t="shared" si="27"/>
        <v>5.75</v>
      </c>
      <c r="BI15" s="291">
        <f t="shared" si="41"/>
        <v>5.1181001663208008</v>
      </c>
      <c r="BJ15" s="280"/>
      <c r="BK15" s="272" t="str">
        <f t="shared" si="28"/>
        <v>BRFQMT D24</v>
      </c>
      <c r="BL15" s="290">
        <f t="shared" si="42"/>
        <v>6</v>
      </c>
      <c r="BM15" s="290">
        <f t="shared" si="43"/>
        <v>5.0777997970581055</v>
      </c>
      <c r="BN15" s="281"/>
      <c r="BO15" s="292" t="str">
        <f t="shared" si="44"/>
        <v>BRFQMT D24</v>
      </c>
      <c r="BP15" s="290">
        <f t="shared" si="45"/>
        <v>8.11</v>
      </c>
      <c r="BQ15" s="291">
        <f t="shared" si="4"/>
        <v>4.5500001907348633</v>
      </c>
      <c r="BR15" s="280"/>
      <c r="BS15" s="293" t="str">
        <f t="shared" si="46"/>
        <v>BRFQMT D24</v>
      </c>
      <c r="BT15" s="290">
        <f t="shared" si="29"/>
        <v>19.86</v>
      </c>
      <c r="BU15" s="291">
        <f t="shared" si="30"/>
        <v>14.74590015411377</v>
      </c>
      <c r="BV15" s="281"/>
      <c r="BW15" s="281"/>
      <c r="BX15" s="281"/>
      <c r="BY15" s="281"/>
      <c r="BZ15" s="281"/>
      <c r="CA15" s="281"/>
      <c r="CB15" s="281"/>
      <c r="CC15" s="280"/>
      <c r="CD15" s="280" t="str">
        <f t="shared" si="31"/>
        <v>BRFQMT D24</v>
      </c>
      <c r="CE15" s="280">
        <v>11.7</v>
      </c>
      <c r="CF15" s="280">
        <f t="shared" si="47"/>
        <v>4.9941000938415527</v>
      </c>
      <c r="CG15" s="280"/>
      <c r="CH15" s="280" t="str">
        <f t="shared" si="32"/>
        <v>BRFQMT D24</v>
      </c>
      <c r="CI15" s="280">
        <v>11.7</v>
      </c>
      <c r="CJ15" s="284">
        <f t="shared" si="33"/>
        <v>4.7940001487731934</v>
      </c>
      <c r="CK15" s="280"/>
      <c r="CL15" s="280" t="str">
        <f t="shared" si="34"/>
        <v>BRFQMT D24</v>
      </c>
      <c r="CM15" s="280">
        <v>11.7</v>
      </c>
      <c r="CN15" s="284">
        <f t="shared" si="35"/>
        <v>4.9134998321533203</v>
      </c>
    </row>
    <row r="16" spans="1:296" ht="15" customHeight="1" x14ac:dyDescent="0.25">
      <c r="A16" s="286" t="s">
        <v>154</v>
      </c>
      <c r="B16" s="286">
        <v>4.5613999366760254</v>
      </c>
      <c r="C16" s="287">
        <v>4.6872000694274902</v>
      </c>
      <c r="D16" s="287">
        <v>4.6531000137329102</v>
      </c>
      <c r="E16" s="287">
        <v>4.4730000495910645</v>
      </c>
      <c r="F16" s="287">
        <v>4.5911002159118652</v>
      </c>
      <c r="G16" s="287">
        <v>4.4099998474121094</v>
      </c>
      <c r="H16" s="287">
        <v>4.5260000228881836</v>
      </c>
      <c r="I16" s="287">
        <v>4.494999885559082</v>
      </c>
      <c r="J16" s="287">
        <v>4.0320000648498535</v>
      </c>
      <c r="K16" s="287">
        <v>4.4330000877380371</v>
      </c>
      <c r="L16" s="287">
        <v>4.2600002288818359</v>
      </c>
      <c r="M16" s="288">
        <v>4.370999813079834</v>
      </c>
      <c r="N16" s="289">
        <f t="shared" si="5"/>
        <v>53.492800235748291</v>
      </c>
      <c r="O16" s="265"/>
      <c r="P16" s="266"/>
      <c r="Q16" s="266"/>
      <c r="R16" s="272" t="str">
        <f t="shared" si="6"/>
        <v>BRFQMT PC</v>
      </c>
      <c r="S16" s="290">
        <f t="shared" si="3"/>
        <v>10.1</v>
      </c>
      <c r="T16" s="291">
        <f t="shared" si="36"/>
        <v>4.5613999366760254</v>
      </c>
      <c r="U16" s="270"/>
      <c r="V16" s="272" t="str">
        <f t="shared" si="7"/>
        <v>BRFQMT PC</v>
      </c>
      <c r="W16" s="290">
        <f t="shared" si="37"/>
        <v>8.08</v>
      </c>
      <c r="X16" s="291">
        <f t="shared" si="8"/>
        <v>4.6872000694274902</v>
      </c>
      <c r="Y16" s="270"/>
      <c r="Z16" s="272" t="str">
        <f t="shared" si="9"/>
        <v>BRFQMT PC</v>
      </c>
      <c r="AA16" s="290">
        <f t="shared" si="38"/>
        <v>7.61</v>
      </c>
      <c r="AB16" s="291">
        <f t="shared" si="10"/>
        <v>4.6531000137329102</v>
      </c>
      <c r="AC16" s="270"/>
      <c r="AD16" s="272" t="str">
        <f t="shared" si="11"/>
        <v>BRFQMT PC</v>
      </c>
      <c r="AE16" s="290">
        <f t="shared" si="39"/>
        <v>25.79</v>
      </c>
      <c r="AF16" s="291">
        <f t="shared" si="40"/>
        <v>13.901700019836426</v>
      </c>
      <c r="AG16" s="271"/>
      <c r="AH16" s="271"/>
      <c r="AI16" s="271"/>
      <c r="AJ16" s="271"/>
      <c r="AK16" s="271"/>
      <c r="AL16" s="272" t="str">
        <f t="shared" si="14"/>
        <v>BRFQMT PC</v>
      </c>
      <c r="AM16" s="273">
        <f t="shared" si="15"/>
        <v>5.17</v>
      </c>
      <c r="AN16" s="273">
        <f t="shared" si="16"/>
        <v>4.4730000495910645</v>
      </c>
      <c r="AO16" s="274"/>
      <c r="AP16" s="275" t="str">
        <f t="shared" si="17"/>
        <v>BRFQMT PC</v>
      </c>
      <c r="AQ16" s="275">
        <f t="shared" si="18"/>
        <v>7.26</v>
      </c>
      <c r="AR16" s="273">
        <f t="shared" si="19"/>
        <v>4.5911002159118652</v>
      </c>
      <c r="AS16" s="276"/>
      <c r="AT16" s="275" t="str">
        <f t="shared" si="20"/>
        <v>BRFQMT PC</v>
      </c>
      <c r="AU16" s="273">
        <f t="shared" si="21"/>
        <v>6.95</v>
      </c>
      <c r="AV16" s="273">
        <f t="shared" si="22"/>
        <v>4.4099998474121094</v>
      </c>
      <c r="AW16" s="277"/>
      <c r="AX16" s="275" t="str">
        <f t="shared" si="23"/>
        <v>BRFQMT PC</v>
      </c>
      <c r="AY16" s="273">
        <f t="shared" ref="AY16:AY47" si="48">SUM(AM16,AQ16,AU16)</f>
        <v>19.38</v>
      </c>
      <c r="AZ16" s="273">
        <f t="shared" ref="AZ16:AZ47" si="49">SUM(AN16,AR16,AV16)</f>
        <v>13.474100112915039</v>
      </c>
      <c r="BA16" s="270"/>
      <c r="BB16" s="270"/>
      <c r="BC16" s="270"/>
      <c r="BD16" s="270"/>
      <c r="BE16" s="270"/>
      <c r="BF16" s="280"/>
      <c r="BG16" s="272" t="str">
        <f t="shared" si="26"/>
        <v>BRFQMT PC</v>
      </c>
      <c r="BH16" s="290">
        <f t="shared" si="27"/>
        <v>6.78</v>
      </c>
      <c r="BI16" s="291">
        <f t="shared" si="41"/>
        <v>4.5260000228881836</v>
      </c>
      <c r="BJ16" s="280"/>
      <c r="BK16" s="272" t="str">
        <f t="shared" si="28"/>
        <v>BRFQMT PC</v>
      </c>
      <c r="BL16" s="290">
        <f t="shared" si="42"/>
        <v>7.05</v>
      </c>
      <c r="BM16" s="290">
        <f t="shared" si="43"/>
        <v>4.494999885559082</v>
      </c>
      <c r="BN16" s="281"/>
      <c r="BO16" s="292" t="str">
        <f t="shared" si="44"/>
        <v>BRFQMT PC</v>
      </c>
      <c r="BP16" s="290">
        <f t="shared" si="45"/>
        <v>6.14</v>
      </c>
      <c r="BQ16" s="291">
        <f t="shared" si="4"/>
        <v>4.0320000648498535</v>
      </c>
      <c r="BR16" s="280"/>
      <c r="BS16" s="293" t="str">
        <f t="shared" si="46"/>
        <v>BRFQMT PC</v>
      </c>
      <c r="BT16" s="290">
        <f t="shared" si="29"/>
        <v>19.97</v>
      </c>
      <c r="BU16" s="291">
        <f t="shared" si="30"/>
        <v>13.052999973297119</v>
      </c>
      <c r="BV16" s="281"/>
      <c r="BW16" s="281"/>
      <c r="BX16" s="281"/>
      <c r="BY16" s="281"/>
      <c r="BZ16" s="281"/>
      <c r="CA16" s="281"/>
      <c r="CB16" s="281"/>
      <c r="CC16" s="280"/>
      <c r="CD16" s="280" t="str">
        <f t="shared" si="31"/>
        <v>BRFQMT PC</v>
      </c>
      <c r="CE16" s="280">
        <v>12.7</v>
      </c>
      <c r="CF16" s="280">
        <f t="shared" si="47"/>
        <v>4.4330000877380371</v>
      </c>
      <c r="CG16" s="280"/>
      <c r="CH16" s="280" t="str">
        <f t="shared" si="32"/>
        <v>BRFQMT PC</v>
      </c>
      <c r="CI16" s="280">
        <v>12.7</v>
      </c>
      <c r="CJ16" s="284">
        <f t="shared" si="33"/>
        <v>4.2600002288818359</v>
      </c>
      <c r="CK16" s="280"/>
      <c r="CL16" s="280" t="str">
        <f t="shared" si="34"/>
        <v>BRFQMT PC</v>
      </c>
      <c r="CM16" s="280">
        <v>12.7</v>
      </c>
      <c r="CN16" s="284">
        <f t="shared" si="35"/>
        <v>4.370999813079834</v>
      </c>
    </row>
    <row r="17" spans="1:92" ht="15" customHeight="1" x14ac:dyDescent="0.25">
      <c r="A17" s="286" t="s">
        <v>87</v>
      </c>
      <c r="B17" s="286">
        <v>73.260002136230469</v>
      </c>
      <c r="C17" s="287">
        <v>75.088203430175781</v>
      </c>
      <c r="D17" s="287">
        <v>74.489898681640625</v>
      </c>
      <c r="E17" s="287">
        <v>71.508003234863281</v>
      </c>
      <c r="F17" s="287">
        <v>73.302597045898437</v>
      </c>
      <c r="G17" s="287">
        <v>70.374000549316406</v>
      </c>
      <c r="H17" s="287">
        <v>72.14630126953125</v>
      </c>
      <c r="I17" s="287">
        <v>71.582099914550781</v>
      </c>
      <c r="J17" s="287">
        <v>64.156402587890625</v>
      </c>
      <c r="K17" s="287">
        <v>70.472297668457031</v>
      </c>
      <c r="L17" s="287">
        <v>67.674003601074219</v>
      </c>
      <c r="M17" s="288">
        <v>69.393501281738281</v>
      </c>
      <c r="N17" s="289">
        <f t="shared" si="5"/>
        <v>853.44731140136719</v>
      </c>
      <c r="O17" s="265"/>
      <c r="P17" s="266"/>
      <c r="Q17" s="266"/>
      <c r="R17" s="272" t="str">
        <f t="shared" si="6"/>
        <v>BRFW D24</v>
      </c>
      <c r="S17" s="290">
        <f t="shared" si="3"/>
        <v>75.59</v>
      </c>
      <c r="T17" s="291">
        <f t="shared" si="36"/>
        <v>73.260002136230469</v>
      </c>
      <c r="U17" s="270"/>
      <c r="V17" s="272" t="str">
        <f t="shared" si="7"/>
        <v>BRFW D24</v>
      </c>
      <c r="W17" s="290">
        <f t="shared" si="37"/>
        <v>78.44</v>
      </c>
      <c r="X17" s="291">
        <f t="shared" si="8"/>
        <v>75.088203430175781</v>
      </c>
      <c r="Y17" s="270"/>
      <c r="Z17" s="272" t="str">
        <f t="shared" si="9"/>
        <v>BRFW D24</v>
      </c>
      <c r="AA17" s="290">
        <f t="shared" si="38"/>
        <v>76.989999999999995</v>
      </c>
      <c r="AB17" s="291">
        <f t="shared" si="10"/>
        <v>74.489898681640625</v>
      </c>
      <c r="AC17" s="270"/>
      <c r="AD17" s="272" t="str">
        <f t="shared" si="11"/>
        <v>BRFW D24</v>
      </c>
      <c r="AE17" s="290">
        <f t="shared" si="39"/>
        <v>231.01999999999998</v>
      </c>
      <c r="AF17" s="291">
        <f t="shared" si="40"/>
        <v>222.83810424804687</v>
      </c>
      <c r="AG17" s="271"/>
      <c r="AH17" s="271"/>
      <c r="AI17" s="271"/>
      <c r="AJ17" s="271"/>
      <c r="AK17" s="271"/>
      <c r="AL17" s="272" t="str">
        <f t="shared" si="14"/>
        <v>BRFW D24</v>
      </c>
      <c r="AM17" s="273">
        <f t="shared" si="15"/>
        <v>69.12</v>
      </c>
      <c r="AN17" s="273">
        <f t="shared" si="16"/>
        <v>71.508003234863281</v>
      </c>
      <c r="AO17" s="274"/>
      <c r="AP17" s="275" t="str">
        <f t="shared" si="17"/>
        <v>BRFW D24</v>
      </c>
      <c r="AQ17" s="275">
        <f t="shared" si="18"/>
        <v>74.48</v>
      </c>
      <c r="AR17" s="273">
        <f t="shared" si="19"/>
        <v>73.302597045898437</v>
      </c>
      <c r="AS17" s="276"/>
      <c r="AT17" s="275" t="str">
        <f t="shared" si="20"/>
        <v>BRFW D24</v>
      </c>
      <c r="AU17" s="273">
        <f t="shared" si="21"/>
        <v>69.260000000000005</v>
      </c>
      <c r="AV17" s="273">
        <f t="shared" si="22"/>
        <v>70.374000549316406</v>
      </c>
      <c r="AW17" s="277"/>
      <c r="AX17" s="275" t="str">
        <f t="shared" si="23"/>
        <v>BRFW D24</v>
      </c>
      <c r="AY17" s="273">
        <f t="shared" si="48"/>
        <v>212.86</v>
      </c>
      <c r="AZ17" s="273">
        <f t="shared" si="49"/>
        <v>215.18460083007812</v>
      </c>
      <c r="BA17" s="270"/>
      <c r="BB17" s="270"/>
      <c r="BC17" s="270"/>
      <c r="BD17" s="270"/>
      <c r="BE17" s="270"/>
      <c r="BF17" s="280"/>
      <c r="BG17" s="272" t="str">
        <f t="shared" si="26"/>
        <v>BRFW D24</v>
      </c>
      <c r="BH17" s="290">
        <f t="shared" si="27"/>
        <v>76.349999999999994</v>
      </c>
      <c r="BI17" s="291">
        <f t="shared" si="41"/>
        <v>72.14630126953125</v>
      </c>
      <c r="BJ17" s="280"/>
      <c r="BK17" s="272" t="str">
        <f t="shared" si="28"/>
        <v>BRFW D24</v>
      </c>
      <c r="BL17" s="290">
        <f t="shared" si="42"/>
        <v>65.62</v>
      </c>
      <c r="BM17" s="290">
        <f t="shared" si="43"/>
        <v>71.582099914550781</v>
      </c>
      <c r="BN17" s="281"/>
      <c r="BO17" s="292" t="str">
        <f t="shared" si="44"/>
        <v>BRFW D24</v>
      </c>
      <c r="BP17" s="290">
        <f t="shared" si="45"/>
        <v>65.17</v>
      </c>
      <c r="BQ17" s="291">
        <f t="shared" si="4"/>
        <v>64.156402587890625</v>
      </c>
      <c r="BR17" s="280"/>
      <c r="BS17" s="293" t="str">
        <f t="shared" si="46"/>
        <v>BRFW D24</v>
      </c>
      <c r="BT17" s="290">
        <f t="shared" ref="BT17:BT37" si="50">SUM(BH17,BL17,BP17)</f>
        <v>207.14</v>
      </c>
      <c r="BU17" s="291">
        <f t="shared" ref="BU17:BU37" si="51">SUM(BI17,BM17,BQ17)</f>
        <v>207.88480377197266</v>
      </c>
      <c r="BV17" s="281"/>
      <c r="BW17" s="281"/>
      <c r="BX17" s="281"/>
      <c r="BY17" s="281"/>
      <c r="BZ17" s="281"/>
      <c r="CA17" s="281"/>
      <c r="CB17" s="281"/>
      <c r="CC17" s="280"/>
      <c r="CD17" s="280" t="str">
        <f t="shared" si="31"/>
        <v>BRFW D24</v>
      </c>
      <c r="CE17" s="280">
        <v>13.7</v>
      </c>
      <c r="CF17" s="280">
        <f t="shared" si="47"/>
        <v>70.472297668457031</v>
      </c>
      <c r="CG17" s="280"/>
      <c r="CH17" s="280" t="str">
        <f t="shared" si="32"/>
        <v>BRFW D24</v>
      </c>
      <c r="CI17" s="280">
        <v>13.7</v>
      </c>
      <c r="CJ17" s="284">
        <f t="shared" si="33"/>
        <v>67.674003601074219</v>
      </c>
      <c r="CK17" s="280"/>
      <c r="CL17" s="280" t="str">
        <f t="shared" si="34"/>
        <v>BRFW D24</v>
      </c>
      <c r="CM17" s="280">
        <v>13.7</v>
      </c>
      <c r="CN17" s="284">
        <f t="shared" si="35"/>
        <v>69.393501281738281</v>
      </c>
    </row>
    <row r="18" spans="1:92" ht="15" customHeight="1" x14ac:dyDescent="0.25">
      <c r="A18" s="286" t="s">
        <v>88</v>
      </c>
      <c r="B18" s="286">
        <v>11.51099967956543</v>
      </c>
      <c r="C18" s="287">
        <v>11.820500373840332</v>
      </c>
      <c r="D18" s="287">
        <v>11.755200386047363</v>
      </c>
      <c r="E18" s="287">
        <v>11.310000419616699</v>
      </c>
      <c r="F18" s="287">
        <v>11.615699768066406</v>
      </c>
      <c r="G18" s="287">
        <v>11.178000450134277</v>
      </c>
      <c r="H18" s="287">
        <v>11.479299545288086</v>
      </c>
      <c r="I18" s="287">
        <v>11.407999992370605</v>
      </c>
      <c r="J18" s="287">
        <v>10.245200157165527</v>
      </c>
      <c r="K18" s="287">
        <v>11.274700164794922</v>
      </c>
      <c r="L18" s="287">
        <v>10.845000267028809</v>
      </c>
      <c r="M18" s="288">
        <v>11.138299942016602</v>
      </c>
      <c r="N18" s="289">
        <f t="shared" si="5"/>
        <v>135.58090114593506</v>
      </c>
      <c r="O18" s="265"/>
      <c r="P18" s="266"/>
      <c r="Q18" s="266"/>
      <c r="R18" s="272" t="str">
        <f t="shared" si="6"/>
        <v>BRFW PC</v>
      </c>
      <c r="S18" s="290">
        <f t="shared" si="3"/>
        <v>11.62</v>
      </c>
      <c r="T18" s="291">
        <f t="shared" si="36"/>
        <v>11.51099967956543</v>
      </c>
      <c r="U18" s="270"/>
      <c r="V18" s="272" t="str">
        <f t="shared" si="7"/>
        <v>BRFW PC</v>
      </c>
      <c r="W18" s="290">
        <f t="shared" si="37"/>
        <v>12.27</v>
      </c>
      <c r="X18" s="291">
        <f t="shared" si="8"/>
        <v>11.820500373840332</v>
      </c>
      <c r="Y18" s="270"/>
      <c r="Z18" s="272" t="str">
        <f t="shared" si="9"/>
        <v>BRFW PC</v>
      </c>
      <c r="AA18" s="290">
        <f t="shared" si="38"/>
        <v>11.9</v>
      </c>
      <c r="AB18" s="291">
        <f t="shared" si="10"/>
        <v>11.755200386047363</v>
      </c>
      <c r="AC18" s="270"/>
      <c r="AD18" s="272" t="str">
        <f t="shared" si="11"/>
        <v>BRFW PC</v>
      </c>
      <c r="AE18" s="290">
        <f t="shared" si="39"/>
        <v>35.79</v>
      </c>
      <c r="AF18" s="291">
        <f t="shared" si="40"/>
        <v>35.086700439453125</v>
      </c>
      <c r="AG18" s="271"/>
      <c r="AH18" s="271"/>
      <c r="AI18" s="271"/>
      <c r="AJ18" s="271"/>
      <c r="AK18" s="271"/>
      <c r="AL18" s="272" t="str">
        <f t="shared" si="14"/>
        <v>BRFW PC</v>
      </c>
      <c r="AM18" s="273">
        <f t="shared" si="15"/>
        <v>10.77</v>
      </c>
      <c r="AN18" s="273">
        <f t="shared" si="16"/>
        <v>11.310000419616699</v>
      </c>
      <c r="AO18" s="274"/>
      <c r="AP18" s="275" t="str">
        <f t="shared" si="17"/>
        <v>BRFW PC</v>
      </c>
      <c r="AQ18" s="275">
        <f t="shared" si="18"/>
        <v>11.44</v>
      </c>
      <c r="AR18" s="273">
        <f t="shared" si="19"/>
        <v>11.615699768066406</v>
      </c>
      <c r="AS18" s="276"/>
      <c r="AT18" s="275" t="str">
        <f t="shared" si="20"/>
        <v>BRFW PC</v>
      </c>
      <c r="AU18" s="273">
        <f t="shared" si="21"/>
        <v>10.7</v>
      </c>
      <c r="AV18" s="273">
        <f t="shared" si="22"/>
        <v>11.178000450134277</v>
      </c>
      <c r="AW18" s="277"/>
      <c r="AX18" s="275" t="str">
        <f t="shared" si="23"/>
        <v>BRFW PC</v>
      </c>
      <c r="AY18" s="273">
        <f t="shared" si="48"/>
        <v>32.909999999999997</v>
      </c>
      <c r="AZ18" s="273">
        <f t="shared" si="49"/>
        <v>34.103700637817383</v>
      </c>
      <c r="BA18" s="270"/>
      <c r="BB18" s="270"/>
      <c r="BC18" s="270"/>
      <c r="BD18" s="270"/>
      <c r="BE18" s="270"/>
      <c r="BF18" s="280"/>
      <c r="BG18" s="272" t="str">
        <f t="shared" si="26"/>
        <v>BRFW PC</v>
      </c>
      <c r="BH18" s="290">
        <f t="shared" si="27"/>
        <v>11.26</v>
      </c>
      <c r="BI18" s="291">
        <f t="shared" si="41"/>
        <v>11.479299545288086</v>
      </c>
      <c r="BJ18" s="280"/>
      <c r="BK18" s="272" t="str">
        <f t="shared" si="28"/>
        <v>BRFW PC</v>
      </c>
      <c r="BL18" s="290">
        <f t="shared" si="42"/>
        <v>8.4700000000000006</v>
      </c>
      <c r="BM18" s="290">
        <f t="shared" si="43"/>
        <v>11.407999992370605</v>
      </c>
      <c r="BN18" s="281"/>
      <c r="BO18" s="292" t="str">
        <f t="shared" si="44"/>
        <v>BRFW PC</v>
      </c>
      <c r="BP18" s="290">
        <f t="shared" si="45"/>
        <v>9.1</v>
      </c>
      <c r="BQ18" s="291">
        <f t="shared" si="4"/>
        <v>10.245200157165527</v>
      </c>
      <c r="BR18" s="280"/>
      <c r="BS18" s="293" t="str">
        <f t="shared" si="46"/>
        <v>BRFW PC</v>
      </c>
      <c r="BT18" s="290">
        <f t="shared" si="50"/>
        <v>28.83</v>
      </c>
      <c r="BU18" s="291">
        <f t="shared" si="51"/>
        <v>33.132499694824219</v>
      </c>
      <c r="BV18" s="281"/>
      <c r="BW18" s="281"/>
      <c r="BX18" s="281"/>
      <c r="BY18" s="281"/>
      <c r="BZ18" s="281"/>
      <c r="CA18" s="281"/>
      <c r="CB18" s="281"/>
      <c r="CC18" s="280"/>
      <c r="CD18" s="280" t="str">
        <f t="shared" si="31"/>
        <v>BRFW PC</v>
      </c>
      <c r="CE18" s="280">
        <v>14.7</v>
      </c>
      <c r="CF18" s="280">
        <f t="shared" si="47"/>
        <v>11.274700164794922</v>
      </c>
      <c r="CG18" s="280"/>
      <c r="CH18" s="280" t="str">
        <f t="shared" si="32"/>
        <v>BRFW PC</v>
      </c>
      <c r="CI18" s="280">
        <v>14.7</v>
      </c>
      <c r="CJ18" s="284">
        <f t="shared" si="33"/>
        <v>10.845000267028809</v>
      </c>
      <c r="CK18" s="280"/>
      <c r="CL18" s="280" t="str">
        <f t="shared" si="34"/>
        <v>BRFW PC</v>
      </c>
      <c r="CM18" s="280">
        <v>14.7</v>
      </c>
      <c r="CN18" s="284">
        <f t="shared" si="35"/>
        <v>11.138299942016602</v>
      </c>
    </row>
    <row r="19" spans="1:92" ht="15" customHeight="1" x14ac:dyDescent="0.25">
      <c r="A19" s="286" t="s">
        <v>89</v>
      </c>
      <c r="B19" s="286">
        <v>20.697000503540039</v>
      </c>
      <c r="C19" s="287">
        <v>20.624300003051758</v>
      </c>
      <c r="D19" s="287">
        <v>19.936100006103516</v>
      </c>
      <c r="E19" s="287">
        <v>18.687000274658203</v>
      </c>
      <c r="F19" s="287">
        <v>18.742599487304688</v>
      </c>
      <c r="G19" s="287">
        <v>17.634000778198242</v>
      </c>
      <c r="H19" s="287">
        <v>17.741300582885742</v>
      </c>
      <c r="I19" s="287">
        <v>17.298000335693359</v>
      </c>
      <c r="J19" s="287">
        <v>15.248800277709961</v>
      </c>
      <c r="K19" s="287">
        <v>16.501300811767578</v>
      </c>
      <c r="L19" s="287">
        <v>15.621000289916992</v>
      </c>
      <c r="M19" s="288">
        <v>15.803799629211426</v>
      </c>
      <c r="N19" s="289">
        <f t="shared" si="5"/>
        <v>214.5352029800415</v>
      </c>
      <c r="O19" s="265"/>
      <c r="P19" s="266"/>
      <c r="Q19" s="266"/>
      <c r="R19" s="272" t="str">
        <f t="shared" si="6"/>
        <v>CBFR D24</v>
      </c>
      <c r="S19" s="290">
        <f t="shared" si="3"/>
        <v>24.01</v>
      </c>
      <c r="T19" s="291">
        <f t="shared" si="36"/>
        <v>20.697000503540039</v>
      </c>
      <c r="U19" s="270"/>
      <c r="V19" s="272" t="str">
        <f t="shared" si="7"/>
        <v>CBFR D24</v>
      </c>
      <c r="W19" s="290">
        <f t="shared" si="37"/>
        <v>24.14</v>
      </c>
      <c r="X19" s="291">
        <f t="shared" si="8"/>
        <v>20.624300003051758</v>
      </c>
      <c r="Y19" s="270"/>
      <c r="Z19" s="272" t="str">
        <f t="shared" si="9"/>
        <v>CBFR D24</v>
      </c>
      <c r="AA19" s="290">
        <f t="shared" si="38"/>
        <v>23.48</v>
      </c>
      <c r="AB19" s="291">
        <f t="shared" si="10"/>
        <v>19.936100006103516</v>
      </c>
      <c r="AC19" s="270"/>
      <c r="AD19" s="272" t="str">
        <f t="shared" si="11"/>
        <v>CBFR D24</v>
      </c>
      <c r="AE19" s="290">
        <f t="shared" si="39"/>
        <v>71.63000000000001</v>
      </c>
      <c r="AF19" s="291">
        <f t="shared" si="40"/>
        <v>61.257400512695313</v>
      </c>
      <c r="AG19" s="271"/>
      <c r="AH19" s="271"/>
      <c r="AI19" s="271"/>
      <c r="AJ19" s="271"/>
      <c r="AK19" s="271"/>
      <c r="AL19" s="272" t="str">
        <f t="shared" si="14"/>
        <v>CBFR D24</v>
      </c>
      <c r="AM19" s="273">
        <f t="shared" si="15"/>
        <v>22.41</v>
      </c>
      <c r="AN19" s="273">
        <f t="shared" si="16"/>
        <v>18.687000274658203</v>
      </c>
      <c r="AO19" s="274"/>
      <c r="AP19" s="275" t="str">
        <f t="shared" si="17"/>
        <v>CBFR D24</v>
      </c>
      <c r="AQ19" s="275">
        <f t="shared" si="18"/>
        <v>22.63</v>
      </c>
      <c r="AR19" s="273">
        <f t="shared" si="19"/>
        <v>18.742599487304688</v>
      </c>
      <c r="AS19" s="276"/>
      <c r="AT19" s="275" t="str">
        <f t="shared" si="20"/>
        <v>CBFR D24</v>
      </c>
      <c r="AU19" s="273">
        <f t="shared" si="21"/>
        <v>20.77</v>
      </c>
      <c r="AV19" s="273">
        <f t="shared" si="22"/>
        <v>17.634000778198242</v>
      </c>
      <c r="AW19" s="277"/>
      <c r="AX19" s="275" t="str">
        <f t="shared" si="23"/>
        <v>CBFR D24</v>
      </c>
      <c r="AY19" s="273">
        <f t="shared" si="48"/>
        <v>65.81</v>
      </c>
      <c r="AZ19" s="273">
        <f t="shared" si="49"/>
        <v>55.063600540161133</v>
      </c>
      <c r="BA19" s="270"/>
      <c r="BB19" s="270"/>
      <c r="BC19" s="270"/>
      <c r="BD19" s="270"/>
      <c r="BE19" s="270"/>
      <c r="BF19" s="280"/>
      <c r="BG19" s="272" t="str">
        <f t="shared" si="26"/>
        <v>CBFR D24</v>
      </c>
      <c r="BH19" s="290">
        <f t="shared" si="27"/>
        <v>21.79</v>
      </c>
      <c r="BI19" s="291">
        <f t="shared" si="41"/>
        <v>17.741300582885742</v>
      </c>
      <c r="BJ19" s="280"/>
      <c r="BK19" s="272" t="str">
        <f t="shared" si="28"/>
        <v>CBFR D24</v>
      </c>
      <c r="BL19" s="290">
        <f t="shared" si="42"/>
        <v>20.96</v>
      </c>
      <c r="BM19" s="290">
        <f t="shared" si="43"/>
        <v>17.298000335693359</v>
      </c>
      <c r="BN19" s="281"/>
      <c r="BO19" s="292" t="str">
        <f t="shared" si="44"/>
        <v>CBFR D24</v>
      </c>
      <c r="BP19" s="290">
        <f t="shared" si="45"/>
        <v>18.61</v>
      </c>
      <c r="BQ19" s="291">
        <f t="shared" si="4"/>
        <v>15.248800277709961</v>
      </c>
      <c r="BR19" s="280"/>
      <c r="BS19" s="293" t="str">
        <f t="shared" si="46"/>
        <v>CBFR D24</v>
      </c>
      <c r="BT19" s="290">
        <f t="shared" si="50"/>
        <v>61.36</v>
      </c>
      <c r="BU19" s="291">
        <f t="shared" si="51"/>
        <v>50.288101196289063</v>
      </c>
      <c r="BV19" s="281"/>
      <c r="BW19" s="281"/>
      <c r="BX19" s="281"/>
      <c r="BY19" s="281"/>
      <c r="BZ19" s="281"/>
      <c r="CA19" s="281"/>
      <c r="CB19" s="281"/>
      <c r="CC19" s="280"/>
      <c r="CD19" s="280" t="str">
        <f t="shared" si="31"/>
        <v>CBFR D24</v>
      </c>
      <c r="CE19" s="280">
        <v>15.7</v>
      </c>
      <c r="CF19" s="280">
        <f t="shared" si="47"/>
        <v>16.501300811767578</v>
      </c>
      <c r="CG19" s="280"/>
      <c r="CH19" s="280" t="str">
        <f t="shared" si="32"/>
        <v>CBFR D24</v>
      </c>
      <c r="CI19" s="280">
        <v>15.7</v>
      </c>
      <c r="CJ19" s="284">
        <f t="shared" si="33"/>
        <v>15.621000289916992</v>
      </c>
      <c r="CK19" s="280"/>
      <c r="CL19" s="280" t="str">
        <f t="shared" si="34"/>
        <v>CBFR D24</v>
      </c>
      <c r="CM19" s="280">
        <v>15.7</v>
      </c>
      <c r="CN19" s="284">
        <f t="shared" si="35"/>
        <v>15.803799629211426</v>
      </c>
    </row>
    <row r="20" spans="1:92" ht="15" customHeight="1" x14ac:dyDescent="0.25">
      <c r="A20" s="286" t="s">
        <v>90</v>
      </c>
      <c r="B20" s="286">
        <v>79.379997253417969</v>
      </c>
      <c r="C20" s="287">
        <v>79.102699279785156</v>
      </c>
      <c r="D20" s="287">
        <v>76.4801025390625</v>
      </c>
      <c r="E20" s="287">
        <v>71.730003356933594</v>
      </c>
      <c r="F20" s="287">
        <v>71.975799560546875</v>
      </c>
      <c r="G20" s="287">
        <v>67.746002197265625</v>
      </c>
      <c r="H20" s="287">
        <v>68.193801879882813</v>
      </c>
      <c r="I20" s="287">
        <v>66.516700744628906</v>
      </c>
      <c r="J20" s="287">
        <v>58.673999786376953</v>
      </c>
      <c r="K20" s="287">
        <v>63.506599426269531</v>
      </c>
      <c r="L20" s="287">
        <v>60.144001007080078</v>
      </c>
      <c r="M20" s="288">
        <v>60.871601104736328</v>
      </c>
      <c r="N20" s="289">
        <f t="shared" si="5"/>
        <v>824.32130813598633</v>
      </c>
      <c r="O20" s="265"/>
      <c r="P20" s="266"/>
      <c r="Q20" s="266"/>
      <c r="R20" s="272" t="str">
        <f t="shared" si="6"/>
        <v>CBFR PC</v>
      </c>
      <c r="S20" s="290">
        <f t="shared" si="3"/>
        <v>92.95</v>
      </c>
      <c r="T20" s="291">
        <f t="shared" si="36"/>
        <v>79.379997253417969</v>
      </c>
      <c r="U20" s="270"/>
      <c r="V20" s="272" t="str">
        <f t="shared" si="7"/>
        <v>CBFR PC</v>
      </c>
      <c r="W20" s="290">
        <f t="shared" si="37"/>
        <v>92.61</v>
      </c>
      <c r="X20" s="291">
        <f t="shared" si="8"/>
        <v>79.102699279785156</v>
      </c>
      <c r="Y20" s="270"/>
      <c r="Z20" s="272" t="str">
        <f t="shared" si="9"/>
        <v>CBFR PC</v>
      </c>
      <c r="AA20" s="290">
        <f t="shared" si="38"/>
        <v>92.01</v>
      </c>
      <c r="AB20" s="291">
        <f t="shared" si="10"/>
        <v>76.4801025390625</v>
      </c>
      <c r="AC20" s="270"/>
      <c r="AD20" s="272" t="str">
        <f t="shared" si="11"/>
        <v>CBFR PC</v>
      </c>
      <c r="AE20" s="290">
        <f t="shared" si="39"/>
        <v>277.57</v>
      </c>
      <c r="AF20" s="291">
        <f t="shared" si="40"/>
        <v>234.96279907226562</v>
      </c>
      <c r="AG20" s="271"/>
      <c r="AH20" s="271"/>
      <c r="AI20" s="271"/>
      <c r="AJ20" s="271"/>
      <c r="AK20" s="271"/>
      <c r="AL20" s="272" t="str">
        <f t="shared" si="14"/>
        <v>CBFR PC</v>
      </c>
      <c r="AM20" s="273">
        <f t="shared" si="15"/>
        <v>88.3</v>
      </c>
      <c r="AN20" s="273">
        <f t="shared" si="16"/>
        <v>71.730003356933594</v>
      </c>
      <c r="AO20" s="274"/>
      <c r="AP20" s="275" t="str">
        <f t="shared" si="17"/>
        <v>CBFR PC</v>
      </c>
      <c r="AQ20" s="275">
        <f t="shared" si="18"/>
        <v>89.03</v>
      </c>
      <c r="AR20" s="273">
        <f t="shared" si="19"/>
        <v>71.975799560546875</v>
      </c>
      <c r="AS20" s="276"/>
      <c r="AT20" s="275" t="str">
        <f t="shared" si="20"/>
        <v>CBFR PC</v>
      </c>
      <c r="AU20" s="273">
        <f t="shared" si="21"/>
        <v>84.56</v>
      </c>
      <c r="AV20" s="273">
        <f t="shared" si="22"/>
        <v>67.746002197265625</v>
      </c>
      <c r="AW20" s="277"/>
      <c r="AX20" s="275" t="str">
        <f t="shared" si="23"/>
        <v>CBFR PC</v>
      </c>
      <c r="AY20" s="273">
        <f t="shared" si="48"/>
        <v>261.89</v>
      </c>
      <c r="AZ20" s="273">
        <f t="shared" si="49"/>
        <v>211.45180511474609</v>
      </c>
      <c r="BA20" s="270"/>
      <c r="BB20" s="270"/>
      <c r="BC20" s="270"/>
      <c r="BD20" s="270"/>
      <c r="BE20" s="270"/>
      <c r="BF20" s="280"/>
      <c r="BG20" s="272" t="str">
        <f t="shared" si="26"/>
        <v>CBFR PC</v>
      </c>
      <c r="BH20" s="290">
        <f t="shared" si="27"/>
        <v>86.98</v>
      </c>
      <c r="BI20" s="291">
        <f t="shared" si="41"/>
        <v>68.193801879882813</v>
      </c>
      <c r="BJ20" s="280"/>
      <c r="BK20" s="272" t="str">
        <f t="shared" si="28"/>
        <v>CBFR PC</v>
      </c>
      <c r="BL20" s="290">
        <f t="shared" si="42"/>
        <v>82.47</v>
      </c>
      <c r="BM20" s="290">
        <f t="shared" si="43"/>
        <v>66.516700744628906</v>
      </c>
      <c r="BN20" s="281"/>
      <c r="BO20" s="292" t="str">
        <f t="shared" si="44"/>
        <v>CBFR PC</v>
      </c>
      <c r="BP20" s="290">
        <f t="shared" si="45"/>
        <v>75.3</v>
      </c>
      <c r="BQ20" s="291">
        <f t="shared" si="4"/>
        <v>58.673999786376953</v>
      </c>
      <c r="BR20" s="280"/>
      <c r="BS20" s="293" t="str">
        <f t="shared" si="46"/>
        <v>CBFR PC</v>
      </c>
      <c r="BT20" s="290">
        <f t="shared" si="50"/>
        <v>244.75</v>
      </c>
      <c r="BU20" s="291">
        <f t="shared" si="51"/>
        <v>193.38450241088867</v>
      </c>
      <c r="BV20" s="281"/>
      <c r="BW20" s="281"/>
      <c r="BX20" s="281"/>
      <c r="BY20" s="281"/>
      <c r="BZ20" s="281"/>
      <c r="CA20" s="281"/>
      <c r="CB20" s="281"/>
      <c r="CC20" s="280"/>
      <c r="CD20" s="280" t="str">
        <f t="shared" si="31"/>
        <v>CBFR PC</v>
      </c>
      <c r="CE20" s="280">
        <v>16.7</v>
      </c>
      <c r="CF20" s="280">
        <f t="shared" si="47"/>
        <v>63.506599426269531</v>
      </c>
      <c r="CG20" s="280"/>
      <c r="CH20" s="280" t="str">
        <f t="shared" si="32"/>
        <v>CBFR PC</v>
      </c>
      <c r="CI20" s="280">
        <v>16.7</v>
      </c>
      <c r="CJ20" s="284">
        <f t="shared" si="33"/>
        <v>60.144001007080078</v>
      </c>
      <c r="CK20" s="280"/>
      <c r="CL20" s="280" t="str">
        <f t="shared" si="34"/>
        <v>CBFR PC</v>
      </c>
      <c r="CM20" s="280">
        <v>16.7</v>
      </c>
      <c r="CN20" s="284">
        <f t="shared" si="35"/>
        <v>60.871601104736328</v>
      </c>
    </row>
    <row r="21" spans="1:92" ht="15" customHeight="1" x14ac:dyDescent="0.25">
      <c r="A21" s="286" t="s">
        <v>91</v>
      </c>
      <c r="B21" s="286">
        <v>823.08001708984375</v>
      </c>
      <c r="C21" s="287">
        <v>837.33477783203125</v>
      </c>
      <c r="D21" s="287">
        <v>824.6837158203125</v>
      </c>
      <c r="E21" s="287">
        <v>786.29400634765625</v>
      </c>
      <c r="F21" s="287">
        <v>800.77032470703125</v>
      </c>
      <c r="G21" s="287">
        <v>763.97998046875</v>
      </c>
      <c r="H21" s="287">
        <v>778.5216064453125</v>
      </c>
      <c r="I21" s="287">
        <v>767.95989990234375</v>
      </c>
      <c r="J21" s="287">
        <v>684.40960693359375</v>
      </c>
      <c r="K21" s="287">
        <v>747.84710693359375</v>
      </c>
      <c r="L21" s="287">
        <v>714.4439697265625</v>
      </c>
      <c r="M21" s="288">
        <v>728.9619140625</v>
      </c>
      <c r="N21" s="289">
        <f t="shared" si="5"/>
        <v>9258.2869262695312</v>
      </c>
      <c r="O21" s="265"/>
      <c r="P21" s="266"/>
      <c r="Q21" s="266"/>
      <c r="R21" s="272" t="str">
        <f t="shared" si="6"/>
        <v>CCRUNIT D24</v>
      </c>
      <c r="S21" s="290">
        <f t="shared" si="3"/>
        <v>909.43</v>
      </c>
      <c r="T21" s="291">
        <f t="shared" si="36"/>
        <v>823.08001708984375</v>
      </c>
      <c r="U21" s="270"/>
      <c r="V21" s="272" t="str">
        <f t="shared" si="7"/>
        <v>CCRUNIT D24</v>
      </c>
      <c r="W21" s="290">
        <f t="shared" si="37"/>
        <v>946.27</v>
      </c>
      <c r="X21" s="291">
        <f t="shared" si="8"/>
        <v>837.33477783203125</v>
      </c>
      <c r="Y21" s="270"/>
      <c r="Z21" s="272" t="str">
        <f t="shared" si="9"/>
        <v>CCRUNIT D24</v>
      </c>
      <c r="AA21" s="290">
        <f t="shared" si="38"/>
        <v>930.69</v>
      </c>
      <c r="AB21" s="291">
        <f t="shared" si="10"/>
        <v>824.6837158203125</v>
      </c>
      <c r="AC21" s="270"/>
      <c r="AD21" s="272" t="str">
        <f t="shared" si="11"/>
        <v>CCRUNIT D24</v>
      </c>
      <c r="AE21" s="290">
        <f t="shared" si="39"/>
        <v>2786.39</v>
      </c>
      <c r="AF21" s="291">
        <f t="shared" si="40"/>
        <v>2485.0985107421875</v>
      </c>
      <c r="AG21" s="271"/>
      <c r="AH21" s="271"/>
      <c r="AI21" s="271"/>
      <c r="AJ21" s="271"/>
      <c r="AK21" s="271"/>
      <c r="AL21" s="272" t="str">
        <f t="shared" si="14"/>
        <v>CCRUNIT D24</v>
      </c>
      <c r="AM21" s="273">
        <f t="shared" si="15"/>
        <v>879.35</v>
      </c>
      <c r="AN21" s="273">
        <f t="shared" si="16"/>
        <v>786.29400634765625</v>
      </c>
      <c r="AO21" s="274"/>
      <c r="AP21" s="275" t="str">
        <f t="shared" si="17"/>
        <v>CCRUNIT D24</v>
      </c>
      <c r="AQ21" s="275">
        <f t="shared" si="18"/>
        <v>908.52</v>
      </c>
      <c r="AR21" s="273">
        <f t="shared" si="19"/>
        <v>800.77032470703125</v>
      </c>
      <c r="AS21" s="276"/>
      <c r="AT21" s="275" t="str">
        <f t="shared" si="20"/>
        <v>CCRUNIT D24</v>
      </c>
      <c r="AU21" s="273">
        <f t="shared" si="21"/>
        <v>836.85</v>
      </c>
      <c r="AV21" s="273">
        <f t="shared" si="22"/>
        <v>763.97998046875</v>
      </c>
      <c r="AW21" s="277"/>
      <c r="AX21" s="275" t="str">
        <f t="shared" si="23"/>
        <v>CCRUNIT D24</v>
      </c>
      <c r="AY21" s="273">
        <f t="shared" si="48"/>
        <v>2624.72</v>
      </c>
      <c r="AZ21" s="273">
        <f t="shared" si="49"/>
        <v>2351.0443115234375</v>
      </c>
      <c r="BA21" s="270"/>
      <c r="BB21" s="270"/>
      <c r="BC21" s="270"/>
      <c r="BD21" s="270"/>
      <c r="BE21" s="270"/>
      <c r="BF21" s="280"/>
      <c r="BG21" s="272" t="str">
        <f t="shared" si="26"/>
        <v>CCRUNIT D24</v>
      </c>
      <c r="BH21" s="290">
        <f t="shared" si="27"/>
        <v>827.17</v>
      </c>
      <c r="BI21" s="291">
        <f t="shared" si="41"/>
        <v>778.5216064453125</v>
      </c>
      <c r="BJ21" s="280"/>
      <c r="BK21" s="272" t="str">
        <f t="shared" si="28"/>
        <v>CCRUNIT D24</v>
      </c>
      <c r="BL21" s="290">
        <f t="shared" si="42"/>
        <v>786.93</v>
      </c>
      <c r="BM21" s="290">
        <f t="shared" si="43"/>
        <v>767.95989990234375</v>
      </c>
      <c r="BN21" s="281"/>
      <c r="BO21" s="292" t="str">
        <f t="shared" si="44"/>
        <v>CCRUNIT D24</v>
      </c>
      <c r="BP21" s="290">
        <f t="shared" si="45"/>
        <v>730.86</v>
      </c>
      <c r="BQ21" s="291">
        <f t="shared" si="4"/>
        <v>684.40960693359375</v>
      </c>
      <c r="BR21" s="280"/>
      <c r="BS21" s="293" t="str">
        <f t="shared" si="46"/>
        <v>CCRUNIT D24</v>
      </c>
      <c r="BT21" s="290">
        <f t="shared" si="50"/>
        <v>2344.96</v>
      </c>
      <c r="BU21" s="291">
        <f t="shared" si="51"/>
        <v>2230.89111328125</v>
      </c>
      <c r="BV21" s="281"/>
      <c r="BW21" s="281"/>
      <c r="BX21" s="281"/>
      <c r="BY21" s="281"/>
      <c r="BZ21" s="281"/>
      <c r="CA21" s="281"/>
      <c r="CB21" s="281"/>
      <c r="CC21" s="280"/>
      <c r="CD21" s="280" t="str">
        <f t="shared" si="31"/>
        <v>CCRUNIT D24</v>
      </c>
      <c r="CE21" s="280">
        <v>17.7</v>
      </c>
      <c r="CF21" s="280">
        <f t="shared" si="47"/>
        <v>747.84710693359375</v>
      </c>
      <c r="CG21" s="280"/>
      <c r="CH21" s="280" t="str">
        <f t="shared" si="32"/>
        <v>CCRUNIT D24</v>
      </c>
      <c r="CI21" s="280">
        <v>17.7</v>
      </c>
      <c r="CJ21" s="284">
        <f t="shared" si="33"/>
        <v>714.4439697265625</v>
      </c>
      <c r="CK21" s="280"/>
      <c r="CL21" s="280" t="str">
        <f t="shared" si="34"/>
        <v>CCRUNIT D24</v>
      </c>
      <c r="CM21" s="280">
        <v>17.7</v>
      </c>
      <c r="CN21" s="284">
        <f t="shared" si="35"/>
        <v>728.9619140625</v>
      </c>
    </row>
    <row r="22" spans="1:92" ht="15" customHeight="1" x14ac:dyDescent="0.25">
      <c r="A22" s="286" t="s">
        <v>92</v>
      </c>
      <c r="B22" s="286">
        <v>77.570999145507813</v>
      </c>
      <c r="C22" s="287">
        <v>79.015899658203125</v>
      </c>
      <c r="D22" s="287">
        <v>77.915397644042969</v>
      </c>
      <c r="E22" s="287">
        <v>74.373001098632812</v>
      </c>
      <c r="F22" s="287">
        <v>75.8291015625</v>
      </c>
      <c r="G22" s="287">
        <v>72.422996520996094</v>
      </c>
      <c r="H22" s="287">
        <v>73.879203796386719</v>
      </c>
      <c r="I22" s="287">
        <v>72.949203491210938</v>
      </c>
      <c r="J22" s="287">
        <v>65.074798583984375</v>
      </c>
      <c r="K22" s="287">
        <v>71.172897338867188</v>
      </c>
      <c r="L22" s="287">
        <v>68.055000305175781</v>
      </c>
      <c r="M22" s="288">
        <v>69.4989013671875</v>
      </c>
      <c r="N22" s="289">
        <f t="shared" si="5"/>
        <v>877.75740051269531</v>
      </c>
      <c r="O22" s="265"/>
      <c r="P22" s="266"/>
      <c r="Q22" s="266"/>
      <c r="R22" s="272" t="str">
        <f t="shared" si="6"/>
        <v>CCRUNIT PC</v>
      </c>
      <c r="S22" s="290">
        <f t="shared" si="3"/>
        <v>82.97</v>
      </c>
      <c r="T22" s="291">
        <f t="shared" si="36"/>
        <v>77.570999145507813</v>
      </c>
      <c r="U22" s="270"/>
      <c r="V22" s="272" t="str">
        <f t="shared" si="7"/>
        <v>CCRUNIT PC</v>
      </c>
      <c r="W22" s="290">
        <f t="shared" si="37"/>
        <v>86.75</v>
      </c>
      <c r="X22" s="291">
        <f t="shared" si="8"/>
        <v>79.015899658203125</v>
      </c>
      <c r="Y22" s="270"/>
      <c r="Z22" s="272" t="str">
        <f t="shared" si="9"/>
        <v>CCRUNIT PC</v>
      </c>
      <c r="AA22" s="290">
        <f t="shared" si="38"/>
        <v>84.46</v>
      </c>
      <c r="AB22" s="291">
        <f t="shared" si="10"/>
        <v>77.915397644042969</v>
      </c>
      <c r="AC22" s="270"/>
      <c r="AD22" s="272" t="str">
        <f t="shared" si="11"/>
        <v>CCRUNIT PC</v>
      </c>
      <c r="AE22" s="290">
        <f t="shared" si="39"/>
        <v>254.18</v>
      </c>
      <c r="AF22" s="291">
        <f t="shared" si="40"/>
        <v>234.50229644775391</v>
      </c>
      <c r="AG22" s="271"/>
      <c r="AH22" s="271"/>
      <c r="AI22" s="271"/>
      <c r="AJ22" s="271"/>
      <c r="AK22" s="271"/>
      <c r="AL22" s="272" t="str">
        <f t="shared" si="14"/>
        <v>CCRUNIT PC</v>
      </c>
      <c r="AM22" s="273">
        <f t="shared" si="15"/>
        <v>82.72</v>
      </c>
      <c r="AN22" s="273">
        <f t="shared" si="16"/>
        <v>74.373001098632812</v>
      </c>
      <c r="AO22" s="274"/>
      <c r="AP22" s="275" t="str">
        <f t="shared" si="17"/>
        <v>CCRUNIT PC</v>
      </c>
      <c r="AQ22" s="275">
        <f t="shared" si="18"/>
        <v>92.6</v>
      </c>
      <c r="AR22" s="273">
        <f t="shared" si="19"/>
        <v>75.8291015625</v>
      </c>
      <c r="AS22" s="276"/>
      <c r="AT22" s="275" t="str">
        <f t="shared" si="20"/>
        <v>CCRUNIT PC</v>
      </c>
      <c r="AU22" s="273">
        <f t="shared" si="21"/>
        <v>83.23</v>
      </c>
      <c r="AV22" s="273">
        <f t="shared" si="22"/>
        <v>72.422996520996094</v>
      </c>
      <c r="AW22" s="277"/>
      <c r="AX22" s="275" t="str">
        <f t="shared" si="23"/>
        <v>CCRUNIT PC</v>
      </c>
      <c r="AY22" s="273">
        <f t="shared" si="48"/>
        <v>258.55</v>
      </c>
      <c r="AZ22" s="273">
        <f t="shared" si="49"/>
        <v>222.62509918212891</v>
      </c>
      <c r="BA22" s="270"/>
      <c r="BB22" s="270"/>
      <c r="BC22" s="270"/>
      <c r="BD22" s="270"/>
      <c r="BE22" s="270"/>
      <c r="BF22" s="280"/>
      <c r="BG22" s="272" t="str">
        <f t="shared" si="26"/>
        <v>CCRUNIT PC</v>
      </c>
      <c r="BH22" s="290">
        <f t="shared" si="27"/>
        <v>88.61</v>
      </c>
      <c r="BI22" s="291">
        <f t="shared" si="41"/>
        <v>73.879203796386719</v>
      </c>
      <c r="BJ22" s="280"/>
      <c r="BK22" s="272" t="str">
        <f t="shared" si="28"/>
        <v>CCRUNIT PC</v>
      </c>
      <c r="BL22" s="290">
        <f t="shared" si="42"/>
        <v>81.709999999999994</v>
      </c>
      <c r="BM22" s="290">
        <f t="shared" si="43"/>
        <v>72.949203491210938</v>
      </c>
      <c r="BN22" s="281"/>
      <c r="BO22" s="292" t="str">
        <f t="shared" si="44"/>
        <v>CCRUNIT PC</v>
      </c>
      <c r="BP22" s="290">
        <f t="shared" si="45"/>
        <v>70.05</v>
      </c>
      <c r="BQ22" s="291">
        <f t="shared" si="4"/>
        <v>65.074798583984375</v>
      </c>
      <c r="BR22" s="280"/>
      <c r="BS22" s="293" t="str">
        <f t="shared" si="46"/>
        <v>CCRUNIT PC</v>
      </c>
      <c r="BT22" s="290">
        <f t="shared" si="50"/>
        <v>240.37</v>
      </c>
      <c r="BU22" s="291">
        <f t="shared" si="51"/>
        <v>211.90320587158203</v>
      </c>
      <c r="BV22" s="281"/>
      <c r="BW22" s="281"/>
      <c r="BX22" s="281"/>
      <c r="BY22" s="281"/>
      <c r="BZ22" s="281"/>
      <c r="CA22" s="281"/>
      <c r="CB22" s="281"/>
      <c r="CC22" s="280"/>
      <c r="CD22" s="280" t="str">
        <f t="shared" si="31"/>
        <v>CCRUNIT PC</v>
      </c>
      <c r="CE22" s="280">
        <v>18.7</v>
      </c>
      <c r="CF22" s="280">
        <f t="shared" si="47"/>
        <v>71.172897338867188</v>
      </c>
      <c r="CG22" s="280"/>
      <c r="CH22" s="280" t="str">
        <f t="shared" si="32"/>
        <v>CCRUNIT PC</v>
      </c>
      <c r="CI22" s="280">
        <v>18.7</v>
      </c>
      <c r="CJ22" s="284">
        <f t="shared" si="33"/>
        <v>68.055000305175781</v>
      </c>
      <c r="CK22" s="280"/>
      <c r="CL22" s="280" t="str">
        <f t="shared" si="34"/>
        <v>CCRUNIT PC</v>
      </c>
      <c r="CM22" s="280">
        <v>18.7</v>
      </c>
      <c r="CN22" s="284">
        <f t="shared" si="35"/>
        <v>69.4989013671875</v>
      </c>
    </row>
    <row r="23" spans="1:92" ht="15" customHeight="1" x14ac:dyDescent="0.25">
      <c r="A23" s="286" t="s">
        <v>155</v>
      </c>
      <c r="B23" s="286">
        <v>19.266000747680664</v>
      </c>
      <c r="C23" s="287">
        <v>19.719100952148437</v>
      </c>
      <c r="D23" s="287">
        <v>19.533100128173828</v>
      </c>
      <c r="E23" s="287">
        <v>18.72599983215332</v>
      </c>
      <c r="F23" s="287">
        <v>19.173500061035156</v>
      </c>
      <c r="G23" s="287">
        <v>18.389999389648438</v>
      </c>
      <c r="H23" s="287">
        <v>18.832500457763672</v>
      </c>
      <c r="I23" s="287">
        <v>18.66819953918457</v>
      </c>
      <c r="J23" s="287">
        <v>16.715999603271484</v>
      </c>
      <c r="K23" s="287">
        <v>18.348899841308594</v>
      </c>
      <c r="L23" s="287">
        <v>17.610000610351563</v>
      </c>
      <c r="M23" s="288">
        <v>18.045099258422852</v>
      </c>
      <c r="N23" s="289">
        <f t="shared" si="5"/>
        <v>223.02840042114258</v>
      </c>
      <c r="O23" s="265"/>
      <c r="P23" s="266"/>
      <c r="Q23" s="266"/>
      <c r="R23" s="272" t="str">
        <f t="shared" si="6"/>
        <v>CCRUNITMT PC</v>
      </c>
      <c r="S23" s="290">
        <f t="shared" si="3"/>
        <v>12.43</v>
      </c>
      <c r="T23" s="291">
        <f t="shared" si="36"/>
        <v>19.266000747680664</v>
      </c>
      <c r="U23" s="270"/>
      <c r="V23" s="272" t="str">
        <f t="shared" si="7"/>
        <v>CCRUNITMT PC</v>
      </c>
      <c r="W23" s="290">
        <f t="shared" si="37"/>
        <v>12.61</v>
      </c>
      <c r="X23" s="291">
        <f t="shared" si="8"/>
        <v>19.719100952148437</v>
      </c>
      <c r="Y23" s="270"/>
      <c r="Z23" s="272" t="str">
        <f t="shared" si="9"/>
        <v>CCRUNITMT PC</v>
      </c>
      <c r="AA23" s="290">
        <f t="shared" si="38"/>
        <v>13.92</v>
      </c>
      <c r="AB23" s="291">
        <f t="shared" si="10"/>
        <v>19.533100128173828</v>
      </c>
      <c r="AC23" s="270"/>
      <c r="AD23" s="272" t="str">
        <f t="shared" si="11"/>
        <v>CCRUNITMT PC</v>
      </c>
      <c r="AE23" s="290">
        <f t="shared" si="39"/>
        <v>38.96</v>
      </c>
      <c r="AF23" s="291">
        <f t="shared" si="40"/>
        <v>58.51820182800293</v>
      </c>
      <c r="AG23" s="271"/>
      <c r="AH23" s="271"/>
      <c r="AI23" s="271"/>
      <c r="AJ23" s="271"/>
      <c r="AK23" s="271"/>
      <c r="AL23" s="272" t="str">
        <f t="shared" si="14"/>
        <v>CCRUNITMT PC</v>
      </c>
      <c r="AM23" s="273">
        <f t="shared" si="15"/>
        <v>19.68</v>
      </c>
      <c r="AN23" s="273">
        <f t="shared" si="16"/>
        <v>18.72599983215332</v>
      </c>
      <c r="AO23" s="274"/>
      <c r="AP23" s="275" t="str">
        <f t="shared" si="17"/>
        <v>CCRUNITMT PC</v>
      </c>
      <c r="AQ23" s="275">
        <f t="shared" si="18"/>
        <v>20.65</v>
      </c>
      <c r="AR23" s="273">
        <f t="shared" si="19"/>
        <v>19.173500061035156</v>
      </c>
      <c r="AS23" s="276"/>
      <c r="AT23" s="275" t="str">
        <f t="shared" si="20"/>
        <v>CCRUNITMT PC</v>
      </c>
      <c r="AU23" s="273">
        <f t="shared" si="21"/>
        <v>20.54</v>
      </c>
      <c r="AV23" s="273">
        <f t="shared" si="22"/>
        <v>18.389999389648438</v>
      </c>
      <c r="AW23" s="277"/>
      <c r="AX23" s="275" t="str">
        <f t="shared" si="23"/>
        <v>CCRUNITMT PC</v>
      </c>
      <c r="AY23" s="273">
        <f t="shared" si="48"/>
        <v>60.87</v>
      </c>
      <c r="AZ23" s="273">
        <f t="shared" si="49"/>
        <v>56.289499282836914</v>
      </c>
      <c r="BA23" s="270"/>
      <c r="BB23" s="270"/>
      <c r="BC23" s="270"/>
      <c r="BD23" s="270"/>
      <c r="BE23" s="270"/>
      <c r="BF23" s="280"/>
      <c r="BG23" s="272" t="str">
        <f t="shared" si="26"/>
        <v>CCRUNITMT PC</v>
      </c>
      <c r="BH23" s="290">
        <f t="shared" si="27"/>
        <v>21.08</v>
      </c>
      <c r="BI23" s="291">
        <f t="shared" si="41"/>
        <v>18.832500457763672</v>
      </c>
      <c r="BJ23" s="280"/>
      <c r="BK23" s="272" t="str">
        <f t="shared" si="28"/>
        <v>CCRUNITMT PC</v>
      </c>
      <c r="BL23" s="290">
        <f t="shared" si="42"/>
        <v>19.420000000000002</v>
      </c>
      <c r="BM23" s="290">
        <f t="shared" si="43"/>
        <v>18.66819953918457</v>
      </c>
      <c r="BN23" s="281"/>
      <c r="BO23" s="292" t="str">
        <f t="shared" si="44"/>
        <v>CCRUNITMT PC</v>
      </c>
      <c r="BP23" s="290">
        <f t="shared" si="45"/>
        <v>16.989999999999998</v>
      </c>
      <c r="BQ23" s="291">
        <f t="shared" si="4"/>
        <v>16.715999603271484</v>
      </c>
      <c r="BR23" s="280"/>
      <c r="BS23" s="293" t="str">
        <f t="shared" si="46"/>
        <v>CCRUNITMT PC</v>
      </c>
      <c r="BT23" s="290">
        <f t="shared" si="50"/>
        <v>57.489999999999995</v>
      </c>
      <c r="BU23" s="291">
        <f t="shared" si="51"/>
        <v>54.216699600219727</v>
      </c>
      <c r="BV23" s="281"/>
      <c r="BW23" s="281"/>
      <c r="BX23" s="281"/>
      <c r="BY23" s="281"/>
      <c r="BZ23" s="281"/>
      <c r="CA23" s="281"/>
      <c r="CB23" s="281"/>
      <c r="CC23" s="280"/>
      <c r="CD23" s="280" t="str">
        <f t="shared" si="31"/>
        <v>CCRUNITMT PC</v>
      </c>
      <c r="CE23" s="280">
        <v>19.7</v>
      </c>
      <c r="CF23" s="280">
        <f t="shared" si="47"/>
        <v>18.348899841308594</v>
      </c>
      <c r="CG23" s="280"/>
      <c r="CH23" s="280" t="str">
        <f t="shared" si="32"/>
        <v>CCRUNITMT PC</v>
      </c>
      <c r="CI23" s="280">
        <v>19.7</v>
      </c>
      <c r="CJ23" s="284">
        <f t="shared" si="33"/>
        <v>17.610000610351563</v>
      </c>
      <c r="CK23" s="280"/>
      <c r="CL23" s="280" t="str">
        <f t="shared" si="34"/>
        <v>CCRUNITMT PC</v>
      </c>
      <c r="CM23" s="280">
        <v>19.7</v>
      </c>
      <c r="CN23" s="284">
        <f t="shared" si="35"/>
        <v>18.045099258422852</v>
      </c>
    </row>
    <row r="24" spans="1:92" ht="15" customHeight="1" x14ac:dyDescent="0.25">
      <c r="A24" s="286" t="s">
        <v>156</v>
      </c>
      <c r="B24" s="286">
        <v>60.963001251220703</v>
      </c>
      <c r="C24" s="287">
        <v>62.278999328613281</v>
      </c>
      <c r="D24" s="287">
        <v>61.584598541259766</v>
      </c>
      <c r="E24" s="287">
        <v>58.944000244140625</v>
      </c>
      <c r="F24" s="287">
        <v>60.25469970703125</v>
      </c>
      <c r="G24" s="287">
        <v>57.695999145507813</v>
      </c>
      <c r="H24" s="287">
        <v>59.002300262451172</v>
      </c>
      <c r="I24" s="287">
        <v>58.394699096679688</v>
      </c>
      <c r="J24" s="287">
        <v>52.214401245117188</v>
      </c>
      <c r="K24" s="287">
        <v>57.241500854492188</v>
      </c>
      <c r="L24" s="287">
        <v>54.854999542236328</v>
      </c>
      <c r="M24" s="288">
        <v>56.140998840332031</v>
      </c>
      <c r="N24" s="289">
        <f t="shared" si="5"/>
        <v>699.57019805908203</v>
      </c>
      <c r="O24" s="265"/>
      <c r="P24" s="266"/>
      <c r="Q24" s="266"/>
      <c r="R24" s="272" t="str">
        <f t="shared" si="6"/>
        <v>CCRUNITMTD24</v>
      </c>
      <c r="S24" s="290">
        <f t="shared" si="3"/>
        <v>72.42</v>
      </c>
      <c r="T24" s="291">
        <f t="shared" si="36"/>
        <v>60.963001251220703</v>
      </c>
      <c r="U24" s="270"/>
      <c r="V24" s="272" t="str">
        <f t="shared" si="7"/>
        <v>CCRUNITMTD24</v>
      </c>
      <c r="W24" s="290">
        <f t="shared" si="37"/>
        <v>70.849999999999994</v>
      </c>
      <c r="X24" s="291">
        <f t="shared" si="8"/>
        <v>62.278999328613281</v>
      </c>
      <c r="Y24" s="270"/>
      <c r="Z24" s="272" t="str">
        <f t="shared" si="9"/>
        <v>CCRUNITMTD24</v>
      </c>
      <c r="AA24" s="290">
        <f t="shared" si="38"/>
        <v>69.989999999999995</v>
      </c>
      <c r="AB24" s="291">
        <f t="shared" si="10"/>
        <v>61.584598541259766</v>
      </c>
      <c r="AC24" s="270"/>
      <c r="AD24" s="272" t="str">
        <f t="shared" si="11"/>
        <v>CCRUNITMTD24</v>
      </c>
      <c r="AE24" s="290">
        <f t="shared" si="39"/>
        <v>213.26</v>
      </c>
      <c r="AF24" s="291">
        <f t="shared" si="40"/>
        <v>184.82659912109375</v>
      </c>
      <c r="AG24" s="271"/>
      <c r="AH24" s="271"/>
      <c r="AI24" s="271"/>
      <c r="AJ24" s="271"/>
      <c r="AK24" s="271"/>
      <c r="AL24" s="272" t="str">
        <f t="shared" si="14"/>
        <v>CCRUNITMTD24</v>
      </c>
      <c r="AM24" s="273">
        <f t="shared" si="15"/>
        <v>64.39</v>
      </c>
      <c r="AN24" s="273">
        <f t="shared" si="16"/>
        <v>58.944000244140625</v>
      </c>
      <c r="AO24" s="274"/>
      <c r="AP24" s="275" t="str">
        <f t="shared" si="17"/>
        <v>CCRUNITMTD24</v>
      </c>
      <c r="AQ24" s="275">
        <f t="shared" si="18"/>
        <v>65.930000000000007</v>
      </c>
      <c r="AR24" s="273">
        <f t="shared" si="19"/>
        <v>60.25469970703125</v>
      </c>
      <c r="AS24" s="276"/>
      <c r="AT24" s="275" t="str">
        <f t="shared" si="20"/>
        <v>CCRUNITMTD24</v>
      </c>
      <c r="AU24" s="273">
        <f t="shared" si="21"/>
        <v>63.97</v>
      </c>
      <c r="AV24" s="273">
        <f t="shared" si="22"/>
        <v>57.695999145507813</v>
      </c>
      <c r="AW24" s="277"/>
      <c r="AX24" s="275" t="str">
        <f t="shared" si="23"/>
        <v>CCRUNITMTD24</v>
      </c>
      <c r="AY24" s="273">
        <f t="shared" si="48"/>
        <v>194.29</v>
      </c>
      <c r="AZ24" s="273">
        <f t="shared" si="49"/>
        <v>176.89469909667969</v>
      </c>
      <c r="BA24" s="270"/>
      <c r="BB24" s="270"/>
      <c r="BC24" s="270"/>
      <c r="BD24" s="270"/>
      <c r="BE24" s="270"/>
      <c r="BF24" s="280"/>
      <c r="BG24" s="272" t="str">
        <f t="shared" si="26"/>
        <v>CCRUNITMTD24</v>
      </c>
      <c r="BH24" s="290">
        <f t="shared" si="27"/>
        <v>57.03</v>
      </c>
      <c r="BI24" s="291">
        <f t="shared" si="41"/>
        <v>59.002300262451172</v>
      </c>
      <c r="BJ24" s="280"/>
      <c r="BK24" s="272" t="str">
        <f t="shared" si="28"/>
        <v>CCRUNITMTD24</v>
      </c>
      <c r="BL24" s="290">
        <f t="shared" si="42"/>
        <v>56.94</v>
      </c>
      <c r="BM24" s="290">
        <f t="shared" si="43"/>
        <v>58.394699096679688</v>
      </c>
      <c r="BN24" s="281"/>
      <c r="BO24" s="292" t="str">
        <f t="shared" si="44"/>
        <v>CCRUNITMTD24</v>
      </c>
      <c r="BP24" s="290">
        <f t="shared" si="45"/>
        <v>53.62</v>
      </c>
      <c r="BQ24" s="291">
        <f t="shared" si="4"/>
        <v>52.214401245117188</v>
      </c>
      <c r="BR24" s="280"/>
      <c r="BS24" s="293" t="str">
        <f t="shared" si="46"/>
        <v>CCRUNITMTD24</v>
      </c>
      <c r="BT24" s="290">
        <f t="shared" si="50"/>
        <v>167.59</v>
      </c>
      <c r="BU24" s="291">
        <f t="shared" si="51"/>
        <v>169.61140060424805</v>
      </c>
      <c r="BV24" s="281"/>
      <c r="BW24" s="281"/>
      <c r="BX24" s="281"/>
      <c r="BY24" s="281"/>
      <c r="BZ24" s="281"/>
      <c r="CA24" s="281"/>
      <c r="CB24" s="281"/>
      <c r="CC24" s="280"/>
      <c r="CD24" s="280" t="str">
        <f t="shared" si="31"/>
        <v>CCRUNITMTD24</v>
      </c>
      <c r="CE24" s="280">
        <v>20.7</v>
      </c>
      <c r="CF24" s="280">
        <f t="shared" si="47"/>
        <v>57.241500854492188</v>
      </c>
      <c r="CG24" s="280"/>
      <c r="CH24" s="280" t="str">
        <f t="shared" si="32"/>
        <v>CCRUNITMTD24</v>
      </c>
      <c r="CI24" s="280">
        <v>20.7</v>
      </c>
      <c r="CJ24" s="284">
        <f t="shared" si="33"/>
        <v>54.854999542236328</v>
      </c>
      <c r="CK24" s="280"/>
      <c r="CL24" s="280" t="str">
        <f t="shared" si="34"/>
        <v>CCRUNITMTD24</v>
      </c>
      <c r="CM24" s="280">
        <v>20.7</v>
      </c>
      <c r="CN24" s="284">
        <f t="shared" si="35"/>
        <v>56.140998840332031</v>
      </c>
    </row>
    <row r="25" spans="1:92" ht="15" customHeight="1" x14ac:dyDescent="0.25">
      <c r="A25" s="286" t="s">
        <v>93</v>
      </c>
      <c r="B25" s="286">
        <v>0.9779999852180481</v>
      </c>
      <c r="C25" s="287">
        <v>0.99819999933242798</v>
      </c>
      <c r="D25" s="287">
        <v>0.98580002784729004</v>
      </c>
      <c r="E25" s="287">
        <v>0.94499999284744263</v>
      </c>
      <c r="F25" s="287">
        <v>0.96410000324249268</v>
      </c>
      <c r="G25" s="287">
        <v>0.92400002479553223</v>
      </c>
      <c r="H25" s="287">
        <v>0.94550001621246338</v>
      </c>
      <c r="I25" s="287">
        <v>0.93620002269744873</v>
      </c>
      <c r="J25" s="287">
        <v>0.83719998598098755</v>
      </c>
      <c r="K25" s="287">
        <v>0.91759997606277466</v>
      </c>
      <c r="L25" s="287">
        <v>0.88200002908706665</v>
      </c>
      <c r="M25" s="288">
        <v>0.90210002660751343</v>
      </c>
      <c r="N25" s="289">
        <f t="shared" si="5"/>
        <v>11.215700089931488</v>
      </c>
      <c r="O25" s="265"/>
      <c r="P25" s="266"/>
      <c r="Q25" s="266"/>
      <c r="R25" s="272" t="str">
        <f t="shared" si="6"/>
        <v>CHBTBUFF D24</v>
      </c>
      <c r="S25" s="290">
        <f t="shared" si="3"/>
        <v>1.05</v>
      </c>
      <c r="T25" s="291">
        <f t="shared" si="36"/>
        <v>0.9779999852180481</v>
      </c>
      <c r="U25" s="270"/>
      <c r="V25" s="272" t="str">
        <f t="shared" si="7"/>
        <v>CHBTBUFF D24</v>
      </c>
      <c r="W25" s="290">
        <f t="shared" si="37"/>
        <v>1.1100000000000001</v>
      </c>
      <c r="X25" s="291">
        <f t="shared" si="8"/>
        <v>0.99819999933242798</v>
      </c>
      <c r="Y25" s="270"/>
      <c r="Z25" s="272" t="str">
        <f t="shared" si="9"/>
        <v>CHBTBUFF D24</v>
      </c>
      <c r="AA25" s="290">
        <f t="shared" si="38"/>
        <v>1.1200000000000001</v>
      </c>
      <c r="AB25" s="291">
        <f t="shared" si="10"/>
        <v>0.98580002784729004</v>
      </c>
      <c r="AC25" s="270"/>
      <c r="AD25" s="272" t="str">
        <f t="shared" si="11"/>
        <v>CHBTBUFF D24</v>
      </c>
      <c r="AE25" s="290">
        <f t="shared" si="39"/>
        <v>3.2800000000000002</v>
      </c>
      <c r="AF25" s="291">
        <f t="shared" si="40"/>
        <v>2.9620000123977661</v>
      </c>
      <c r="AG25" s="271"/>
      <c r="AH25" s="271"/>
      <c r="AI25" s="271"/>
      <c r="AJ25" s="271"/>
      <c r="AK25" s="271"/>
      <c r="AL25" s="272" t="str">
        <f t="shared" si="14"/>
        <v>CHBTBUFF D24</v>
      </c>
      <c r="AM25" s="273">
        <f t="shared" si="15"/>
        <v>0.82</v>
      </c>
      <c r="AN25" s="273">
        <f t="shared" si="16"/>
        <v>0.94499999284744263</v>
      </c>
      <c r="AO25" s="274"/>
      <c r="AP25" s="275" t="str">
        <f t="shared" si="17"/>
        <v>CHBTBUFF D24</v>
      </c>
      <c r="AQ25" s="275">
        <f t="shared" si="18"/>
        <v>0.91</v>
      </c>
      <c r="AR25" s="273">
        <f t="shared" si="19"/>
        <v>0.96410000324249268</v>
      </c>
      <c r="AS25" s="276"/>
      <c r="AT25" s="275" t="str">
        <f t="shared" si="20"/>
        <v>CHBTBUFF D24</v>
      </c>
      <c r="AU25" s="273">
        <f t="shared" si="21"/>
        <v>1.08</v>
      </c>
      <c r="AV25" s="273">
        <f t="shared" si="22"/>
        <v>0.92400002479553223</v>
      </c>
      <c r="AW25" s="277"/>
      <c r="AX25" s="275" t="str">
        <f t="shared" si="23"/>
        <v>CHBTBUFF D24</v>
      </c>
      <c r="AY25" s="273">
        <f t="shared" si="48"/>
        <v>2.81</v>
      </c>
      <c r="AZ25" s="273">
        <f t="shared" si="49"/>
        <v>2.8331000208854675</v>
      </c>
      <c r="BA25" s="270"/>
      <c r="BB25" s="270"/>
      <c r="BC25" s="270"/>
      <c r="BD25" s="270"/>
      <c r="BE25" s="270"/>
      <c r="BF25" s="280"/>
      <c r="BG25" s="272" t="str">
        <f t="shared" si="26"/>
        <v>CHBTBUFF D24</v>
      </c>
      <c r="BH25" s="290">
        <f t="shared" si="27"/>
        <v>1</v>
      </c>
      <c r="BI25" s="291">
        <f t="shared" si="41"/>
        <v>0.94550001621246338</v>
      </c>
      <c r="BJ25" s="280"/>
      <c r="BK25" s="272" t="str">
        <f t="shared" si="28"/>
        <v>CHBTBUFF D24</v>
      </c>
      <c r="BL25" s="290">
        <f t="shared" si="42"/>
        <v>0.89</v>
      </c>
      <c r="BM25" s="290">
        <f t="shared" si="43"/>
        <v>0.93620002269744873</v>
      </c>
      <c r="BN25" s="281"/>
      <c r="BO25" s="292" t="str">
        <f t="shared" si="44"/>
        <v>CHBTBUFF D24</v>
      </c>
      <c r="BP25" s="290">
        <f t="shared" si="45"/>
        <v>0.75</v>
      </c>
      <c r="BQ25" s="291">
        <f t="shared" si="4"/>
        <v>0.83719998598098755</v>
      </c>
      <c r="BR25" s="280"/>
      <c r="BS25" s="293" t="str">
        <f t="shared" si="46"/>
        <v>CHBTBUFF D24</v>
      </c>
      <c r="BT25" s="290">
        <f t="shared" si="50"/>
        <v>2.64</v>
      </c>
      <c r="BU25" s="291">
        <f t="shared" si="51"/>
        <v>2.7189000248908997</v>
      </c>
      <c r="BV25" s="281"/>
      <c r="BW25" s="281"/>
      <c r="BX25" s="281"/>
      <c r="BY25" s="281"/>
      <c r="BZ25" s="281"/>
      <c r="CA25" s="281"/>
      <c r="CB25" s="281"/>
      <c r="CC25" s="280"/>
      <c r="CD25" s="280" t="str">
        <f t="shared" si="31"/>
        <v>CHBTBUFF D24</v>
      </c>
      <c r="CE25" s="280">
        <v>21.7</v>
      </c>
      <c r="CF25" s="280">
        <f t="shared" si="47"/>
        <v>0.91759997606277466</v>
      </c>
      <c r="CG25" s="280"/>
      <c r="CH25" s="280" t="str">
        <f t="shared" si="32"/>
        <v>CHBTBUFF D24</v>
      </c>
      <c r="CI25" s="280">
        <v>21.7</v>
      </c>
      <c r="CJ25" s="284">
        <f t="shared" si="33"/>
        <v>0.88200002908706665</v>
      </c>
      <c r="CK25" s="280"/>
      <c r="CL25" s="280" t="str">
        <f t="shared" si="34"/>
        <v>CHBTBUFF D24</v>
      </c>
      <c r="CM25" s="280">
        <v>21.7</v>
      </c>
      <c r="CN25" s="284">
        <f t="shared" si="35"/>
        <v>0.90210002660751343</v>
      </c>
    </row>
    <row r="26" spans="1:92" ht="15" customHeight="1" x14ac:dyDescent="0.25">
      <c r="A26" s="286" t="s">
        <v>182</v>
      </c>
      <c r="B26" s="286">
        <v>4.0380001068115234</v>
      </c>
      <c r="C26" s="287">
        <v>4.1416001319885254</v>
      </c>
      <c r="D26" s="287">
        <v>4.1136999130249023</v>
      </c>
      <c r="E26" s="287">
        <v>3.9539999961853027</v>
      </c>
      <c r="F26" s="287">
        <v>4.0578999519348145</v>
      </c>
      <c r="G26" s="287">
        <v>3.9000000953674316</v>
      </c>
      <c r="H26" s="287">
        <v>4.0020999908447266</v>
      </c>
      <c r="I26" s="287">
        <v>3.9742000102996826</v>
      </c>
      <c r="J26" s="287">
        <v>3.5643999576568604</v>
      </c>
      <c r="K26" s="287">
        <v>3.9214999675750732</v>
      </c>
      <c r="L26" s="287">
        <v>3.7679998874664307</v>
      </c>
      <c r="M26" s="288">
        <v>3.8657000064849854</v>
      </c>
      <c r="N26" s="289">
        <f t="shared" si="5"/>
        <v>47.301100015640259</v>
      </c>
      <c r="O26" s="265"/>
      <c r="P26" s="266"/>
      <c r="Q26" s="266"/>
      <c r="R26" s="272" t="str">
        <f t="shared" si="6"/>
        <v>CHBTC1 MT PC</v>
      </c>
      <c r="S26" s="290">
        <f t="shared" si="3"/>
        <v>4.59</v>
      </c>
      <c r="T26" s="291">
        <f t="shared" si="36"/>
        <v>4.0380001068115234</v>
      </c>
      <c r="U26" s="270"/>
      <c r="V26" s="272" t="str">
        <f t="shared" si="7"/>
        <v>CHBTC1 MT PC</v>
      </c>
      <c r="W26" s="290">
        <f t="shared" si="37"/>
        <v>4.34</v>
      </c>
      <c r="X26" s="291">
        <f t="shared" si="8"/>
        <v>4.1416001319885254</v>
      </c>
      <c r="Y26" s="270"/>
      <c r="Z26" s="272" t="str">
        <f t="shared" si="9"/>
        <v>CHBTC1 MT PC</v>
      </c>
      <c r="AA26" s="290">
        <f t="shared" si="38"/>
        <v>4.84</v>
      </c>
      <c r="AB26" s="291">
        <f t="shared" si="10"/>
        <v>4.1136999130249023</v>
      </c>
      <c r="AC26" s="270"/>
      <c r="AD26" s="272" t="str">
        <f t="shared" si="11"/>
        <v>CHBTC1 MT PC</v>
      </c>
      <c r="AE26" s="290">
        <f t="shared" si="39"/>
        <v>13.77</v>
      </c>
      <c r="AF26" s="291">
        <f t="shared" si="40"/>
        <v>12.293300151824951</v>
      </c>
      <c r="AG26" s="271"/>
      <c r="AH26" s="271"/>
      <c r="AI26" s="271"/>
      <c r="AJ26" s="271"/>
      <c r="AK26" s="271"/>
      <c r="AL26" s="272" t="str">
        <f t="shared" si="14"/>
        <v>CHBTC1 MT PC</v>
      </c>
      <c r="AM26" s="273">
        <f t="shared" si="15"/>
        <v>3.83</v>
      </c>
      <c r="AN26" s="273">
        <f t="shared" si="16"/>
        <v>3.9539999961853027</v>
      </c>
      <c r="AO26" s="274"/>
      <c r="AP26" s="275" t="str">
        <f t="shared" si="17"/>
        <v>CHBTC1 MT PC</v>
      </c>
      <c r="AQ26" s="275">
        <f t="shared" si="18"/>
        <v>3.84</v>
      </c>
      <c r="AR26" s="273">
        <f t="shared" si="19"/>
        <v>4.0578999519348145</v>
      </c>
      <c r="AS26" s="276"/>
      <c r="AT26" s="275" t="str">
        <f t="shared" si="20"/>
        <v>CHBTC1 MT PC</v>
      </c>
      <c r="AU26" s="273">
        <f t="shared" si="21"/>
        <v>4.45</v>
      </c>
      <c r="AV26" s="273">
        <f t="shared" si="22"/>
        <v>3.9000000953674316</v>
      </c>
      <c r="AW26" s="277"/>
      <c r="AX26" s="275" t="str">
        <f t="shared" si="23"/>
        <v>CHBTC1 MT PC</v>
      </c>
      <c r="AY26" s="273">
        <f t="shared" si="48"/>
        <v>12.120000000000001</v>
      </c>
      <c r="AZ26" s="273">
        <f t="shared" si="49"/>
        <v>11.911900043487549</v>
      </c>
      <c r="BA26" s="270"/>
      <c r="BB26" s="270"/>
      <c r="BC26" s="270"/>
      <c r="BD26" s="270"/>
      <c r="BE26" s="270"/>
      <c r="BF26" s="280"/>
      <c r="BG26" s="272" t="str">
        <f t="shared" si="26"/>
        <v>CHBTC1 MT PC</v>
      </c>
      <c r="BH26" s="290">
        <f t="shared" si="27"/>
        <v>4.34</v>
      </c>
      <c r="BI26" s="291">
        <f t="shared" si="41"/>
        <v>4.0020999908447266</v>
      </c>
      <c r="BJ26" s="280"/>
      <c r="BK26" s="272" t="str">
        <f t="shared" si="28"/>
        <v>CHBTC1 MT PC</v>
      </c>
      <c r="BL26" s="290">
        <f t="shared" si="42"/>
        <v>4.67</v>
      </c>
      <c r="BM26" s="290">
        <f t="shared" si="43"/>
        <v>3.9742000102996826</v>
      </c>
      <c r="BN26" s="281"/>
      <c r="BO26" s="292" t="str">
        <f t="shared" si="44"/>
        <v>CHBTC1 MT PC</v>
      </c>
      <c r="BP26" s="290">
        <f t="shared" si="45"/>
        <v>3.54</v>
      </c>
      <c r="BQ26" s="291">
        <f t="shared" si="4"/>
        <v>3.5643999576568604</v>
      </c>
      <c r="BR26" s="280"/>
      <c r="BS26" s="293" t="str">
        <f t="shared" si="46"/>
        <v>CHBTC1 MT PC</v>
      </c>
      <c r="BT26" s="290">
        <f t="shared" si="50"/>
        <v>12.55</v>
      </c>
      <c r="BU26" s="291">
        <f t="shared" si="51"/>
        <v>11.54069995880127</v>
      </c>
      <c r="BV26" s="281"/>
      <c r="BW26" s="281"/>
      <c r="BX26" s="281"/>
      <c r="BY26" s="281"/>
      <c r="BZ26" s="281"/>
      <c r="CA26" s="281"/>
      <c r="CB26" s="281"/>
      <c r="CC26" s="280"/>
      <c r="CD26" s="280" t="str">
        <f t="shared" si="31"/>
        <v>CHBTC1 MT PC</v>
      </c>
      <c r="CE26" s="280">
        <v>22.7</v>
      </c>
      <c r="CF26" s="280">
        <f t="shared" si="47"/>
        <v>3.9214999675750732</v>
      </c>
      <c r="CG26" s="280"/>
      <c r="CH26" s="280" t="str">
        <f t="shared" si="32"/>
        <v>CHBTC1 MT PC</v>
      </c>
      <c r="CI26" s="280">
        <v>22.7</v>
      </c>
      <c r="CJ26" s="284">
        <f t="shared" si="33"/>
        <v>3.7679998874664307</v>
      </c>
      <c r="CK26" s="280"/>
      <c r="CL26" s="280" t="str">
        <f t="shared" si="34"/>
        <v>CHBTC1 MT PC</v>
      </c>
      <c r="CM26" s="280">
        <v>22.7</v>
      </c>
      <c r="CN26" s="284">
        <f t="shared" si="35"/>
        <v>3.8657000064849854</v>
      </c>
    </row>
    <row r="27" spans="1:92" ht="15" customHeight="1" x14ac:dyDescent="0.25">
      <c r="A27" s="286" t="s">
        <v>95</v>
      </c>
      <c r="B27" s="286">
        <v>47.645999908447266</v>
      </c>
      <c r="C27" s="287">
        <v>48.477798461914063</v>
      </c>
      <c r="D27" s="287">
        <v>47.764801025390625</v>
      </c>
      <c r="E27" s="287">
        <v>45.569999694824219</v>
      </c>
      <c r="F27" s="287">
        <v>46.44110107421875</v>
      </c>
      <c r="G27" s="287">
        <v>44.3489990234375</v>
      </c>
      <c r="H27" s="287">
        <v>45.235198974609375</v>
      </c>
      <c r="I27" s="287">
        <v>44.674098968505859</v>
      </c>
      <c r="J27" s="287">
        <v>39.855201721191406</v>
      </c>
      <c r="K27" s="287">
        <v>43.604598999023438</v>
      </c>
      <c r="L27" s="287">
        <v>41.708999633789063</v>
      </c>
      <c r="M27" s="288">
        <v>42.609500885009766</v>
      </c>
      <c r="N27" s="289">
        <f t="shared" si="5"/>
        <v>537.93629837036133</v>
      </c>
      <c r="O27" s="265"/>
      <c r="P27" s="266"/>
      <c r="Q27" s="266"/>
      <c r="R27" s="272" t="str">
        <f t="shared" si="6"/>
        <v>CHBTCAT1 PC</v>
      </c>
      <c r="S27" s="290">
        <f t="shared" si="3"/>
        <v>47.87</v>
      </c>
      <c r="T27" s="291">
        <f t="shared" si="36"/>
        <v>47.645999908447266</v>
      </c>
      <c r="U27" s="270"/>
      <c r="V27" s="272" t="str">
        <f t="shared" si="7"/>
        <v>CHBTCAT1 PC</v>
      </c>
      <c r="W27" s="290">
        <f t="shared" si="37"/>
        <v>51.68</v>
      </c>
      <c r="X27" s="291">
        <f t="shared" si="8"/>
        <v>48.477798461914063</v>
      </c>
      <c r="Y27" s="270"/>
      <c r="Z27" s="272" t="str">
        <f t="shared" si="9"/>
        <v>CHBTCAT1 PC</v>
      </c>
      <c r="AA27" s="290">
        <f t="shared" si="38"/>
        <v>50.41</v>
      </c>
      <c r="AB27" s="291">
        <f t="shared" si="10"/>
        <v>47.764801025390625</v>
      </c>
      <c r="AC27" s="270"/>
      <c r="AD27" s="272" t="str">
        <f t="shared" si="11"/>
        <v>CHBTCAT1 PC</v>
      </c>
      <c r="AE27" s="290">
        <f t="shared" si="39"/>
        <v>149.95999999999998</v>
      </c>
      <c r="AF27" s="291">
        <f t="shared" si="40"/>
        <v>143.88859939575195</v>
      </c>
      <c r="AG27" s="271"/>
      <c r="AH27" s="271"/>
      <c r="AI27" s="271"/>
      <c r="AJ27" s="271"/>
      <c r="AK27" s="271"/>
      <c r="AL27" s="272" t="str">
        <f t="shared" si="14"/>
        <v>CHBTCAT1 PC</v>
      </c>
      <c r="AM27" s="273">
        <f t="shared" si="15"/>
        <v>36.340000000000003</v>
      </c>
      <c r="AN27" s="273">
        <f t="shared" si="16"/>
        <v>45.569999694824219</v>
      </c>
      <c r="AO27" s="274"/>
      <c r="AP27" s="275" t="str">
        <f t="shared" si="17"/>
        <v>CHBTCAT1 PC</v>
      </c>
      <c r="AQ27" s="275">
        <f t="shared" si="18"/>
        <v>29.81</v>
      </c>
      <c r="AR27" s="273">
        <f t="shared" si="19"/>
        <v>46.44110107421875</v>
      </c>
      <c r="AS27" s="276"/>
      <c r="AT27" s="275" t="str">
        <f t="shared" si="20"/>
        <v>CHBTCAT1 PC</v>
      </c>
      <c r="AU27" s="273">
        <f t="shared" si="21"/>
        <v>38.270000000000003</v>
      </c>
      <c r="AV27" s="273">
        <f t="shared" si="22"/>
        <v>44.3489990234375</v>
      </c>
      <c r="AW27" s="277"/>
      <c r="AX27" s="275" t="str">
        <f t="shared" si="23"/>
        <v>CHBTCAT1 PC</v>
      </c>
      <c r="AY27" s="273">
        <f t="shared" si="48"/>
        <v>104.42000000000002</v>
      </c>
      <c r="AZ27" s="273">
        <f t="shared" si="49"/>
        <v>136.36009979248047</v>
      </c>
      <c r="BA27" s="270"/>
      <c r="BB27" s="270"/>
      <c r="BC27" s="270"/>
      <c r="BD27" s="270"/>
      <c r="BE27" s="270"/>
      <c r="BF27" s="280"/>
      <c r="BG27" s="272" t="str">
        <f t="shared" si="26"/>
        <v>CHBTCAT1 PC</v>
      </c>
      <c r="BH27" s="290">
        <f t="shared" si="27"/>
        <v>55.44</v>
      </c>
      <c r="BI27" s="291">
        <f t="shared" si="41"/>
        <v>45.235198974609375</v>
      </c>
      <c r="BJ27" s="280"/>
      <c r="BK27" s="272" t="str">
        <f t="shared" si="28"/>
        <v>CHBTCAT1 PC</v>
      </c>
      <c r="BL27" s="290">
        <f t="shared" si="42"/>
        <v>46.46</v>
      </c>
      <c r="BM27" s="290">
        <f t="shared" si="43"/>
        <v>44.674098968505859</v>
      </c>
      <c r="BN27" s="281"/>
      <c r="BO27" s="292" t="str">
        <f t="shared" si="44"/>
        <v>CHBTCAT1 PC</v>
      </c>
      <c r="BP27" s="290">
        <f t="shared" si="45"/>
        <v>45.43</v>
      </c>
      <c r="BQ27" s="291">
        <f t="shared" si="4"/>
        <v>39.855201721191406</v>
      </c>
      <c r="BR27" s="280"/>
      <c r="BS27" s="293" t="str">
        <f t="shared" si="46"/>
        <v>CHBTCAT1 PC</v>
      </c>
      <c r="BT27" s="290">
        <f t="shared" si="50"/>
        <v>147.33000000000001</v>
      </c>
      <c r="BU27" s="291">
        <f t="shared" si="51"/>
        <v>129.76449966430664</v>
      </c>
      <c r="BV27" s="281"/>
      <c r="BW27" s="281"/>
      <c r="BX27" s="281"/>
      <c r="BY27" s="281"/>
      <c r="BZ27" s="281"/>
      <c r="CA27" s="281"/>
      <c r="CB27" s="281"/>
      <c r="CC27" s="280"/>
      <c r="CD27" s="280" t="str">
        <f t="shared" si="31"/>
        <v>CHBTCAT1 PC</v>
      </c>
      <c r="CE27" s="280">
        <v>23.7</v>
      </c>
      <c r="CF27" s="280">
        <f t="shared" si="47"/>
        <v>43.604598999023438</v>
      </c>
      <c r="CG27" s="280"/>
      <c r="CH27" s="280" t="str">
        <f t="shared" si="32"/>
        <v>CHBTCAT1 PC</v>
      </c>
      <c r="CI27" s="280">
        <v>23.7</v>
      </c>
      <c r="CJ27" s="284">
        <f t="shared" si="33"/>
        <v>41.708999633789063</v>
      </c>
      <c r="CK27" s="280"/>
      <c r="CL27" s="280" t="str">
        <f t="shared" si="34"/>
        <v>CHBTCAT1 PC</v>
      </c>
      <c r="CM27" s="280">
        <v>23.7</v>
      </c>
      <c r="CN27" s="284">
        <f t="shared" si="35"/>
        <v>42.609500885009766</v>
      </c>
    </row>
    <row r="28" spans="1:92" ht="15" customHeight="1" x14ac:dyDescent="0.25">
      <c r="A28" s="286" t="s">
        <v>96</v>
      </c>
      <c r="B28" s="286">
        <v>123.03299713134766</v>
      </c>
      <c r="C28" s="287">
        <v>125.21209716796875</v>
      </c>
      <c r="D28" s="287">
        <v>123.39550018310547</v>
      </c>
      <c r="E28" s="287">
        <v>117.74700164794922</v>
      </c>
      <c r="F28" s="287">
        <v>120.03510284423828</v>
      </c>
      <c r="G28" s="287">
        <v>114.65699768066406</v>
      </c>
      <c r="H28" s="287">
        <v>116.99400329589844</v>
      </c>
      <c r="I28" s="287">
        <v>115.57109832763672</v>
      </c>
      <c r="J28" s="287">
        <v>103.14920043945312</v>
      </c>
      <c r="K28" s="287">
        <v>112.88960266113281</v>
      </c>
      <c r="L28" s="287">
        <v>108.02100372314453</v>
      </c>
      <c r="M28" s="288">
        <v>110.40029907226562</v>
      </c>
      <c r="N28" s="289">
        <f t="shared" si="5"/>
        <v>1391.1049041748047</v>
      </c>
      <c r="O28" s="265"/>
      <c r="P28" s="266"/>
      <c r="Q28" s="266"/>
      <c r="R28" s="272" t="str">
        <f t="shared" si="6"/>
        <v>CHBTCAT2 D24</v>
      </c>
      <c r="S28" s="290">
        <f t="shared" si="3"/>
        <v>151.69999999999999</v>
      </c>
      <c r="T28" s="291">
        <f t="shared" si="36"/>
        <v>123.03299713134766</v>
      </c>
      <c r="U28" s="270"/>
      <c r="V28" s="272" t="str">
        <f t="shared" si="7"/>
        <v>CHBTCAT2 D24</v>
      </c>
      <c r="W28" s="290">
        <f t="shared" si="37"/>
        <v>145.74</v>
      </c>
      <c r="X28" s="291">
        <f t="shared" si="8"/>
        <v>125.21209716796875</v>
      </c>
      <c r="Y28" s="270"/>
      <c r="Z28" s="272" t="str">
        <f t="shared" si="9"/>
        <v>CHBTCAT2 D24</v>
      </c>
      <c r="AA28" s="290">
        <f t="shared" si="38"/>
        <v>147.81</v>
      </c>
      <c r="AB28" s="291">
        <f t="shared" si="10"/>
        <v>123.39550018310547</v>
      </c>
      <c r="AC28" s="270"/>
      <c r="AD28" s="272" t="str">
        <f t="shared" si="11"/>
        <v>CHBTCAT2 D24</v>
      </c>
      <c r="AE28" s="290">
        <f t="shared" si="39"/>
        <v>445.25</v>
      </c>
      <c r="AF28" s="291">
        <f t="shared" si="40"/>
        <v>371.64059448242187</v>
      </c>
      <c r="AG28" s="271"/>
      <c r="AH28" s="271"/>
      <c r="AI28" s="271"/>
      <c r="AJ28" s="271"/>
      <c r="AK28" s="271"/>
      <c r="AL28" s="272" t="str">
        <f t="shared" si="14"/>
        <v>CHBTCAT2 D24</v>
      </c>
      <c r="AM28" s="273">
        <f t="shared" si="15"/>
        <v>114.85</v>
      </c>
      <c r="AN28" s="273">
        <f t="shared" si="16"/>
        <v>117.74700164794922</v>
      </c>
      <c r="AO28" s="274"/>
      <c r="AP28" s="275" t="str">
        <f t="shared" si="17"/>
        <v>CHBTCAT2 D24</v>
      </c>
      <c r="AQ28" s="275">
        <f t="shared" si="18"/>
        <v>106.23</v>
      </c>
      <c r="AR28" s="273">
        <f t="shared" si="19"/>
        <v>120.03510284423828</v>
      </c>
      <c r="AS28" s="276"/>
      <c r="AT28" s="275" t="str">
        <f t="shared" si="20"/>
        <v>CHBTCAT2 D24</v>
      </c>
      <c r="AU28" s="273">
        <f t="shared" si="21"/>
        <v>134.55000000000001</v>
      </c>
      <c r="AV28" s="273">
        <f t="shared" si="22"/>
        <v>114.65699768066406</v>
      </c>
      <c r="AW28" s="277"/>
      <c r="AX28" s="275" t="str">
        <f t="shared" si="23"/>
        <v>CHBTCAT2 D24</v>
      </c>
      <c r="AY28" s="273">
        <f t="shared" si="48"/>
        <v>355.63</v>
      </c>
      <c r="AZ28" s="273">
        <f t="shared" si="49"/>
        <v>352.43910217285156</v>
      </c>
      <c r="BA28" s="270"/>
      <c r="BB28" s="270"/>
      <c r="BC28" s="270"/>
      <c r="BD28" s="270"/>
      <c r="BE28" s="270"/>
      <c r="BF28" s="280"/>
      <c r="BG28" s="272" t="str">
        <f t="shared" si="26"/>
        <v>CHBTCAT2 D24</v>
      </c>
      <c r="BH28" s="290">
        <f t="shared" si="27"/>
        <v>131.99</v>
      </c>
      <c r="BI28" s="291">
        <f t="shared" si="41"/>
        <v>116.99400329589844</v>
      </c>
      <c r="BJ28" s="280"/>
      <c r="BK28" s="272" t="str">
        <f t="shared" si="28"/>
        <v>CHBTCAT2 D24</v>
      </c>
      <c r="BL28" s="290">
        <f t="shared" si="42"/>
        <v>127.32</v>
      </c>
      <c r="BM28" s="290">
        <f t="shared" si="43"/>
        <v>115.57109832763672</v>
      </c>
      <c r="BN28" s="281"/>
      <c r="BO28" s="292" t="str">
        <f t="shared" si="44"/>
        <v>CHBTCAT2 D24</v>
      </c>
      <c r="BP28" s="290">
        <f t="shared" si="45"/>
        <v>113.34</v>
      </c>
      <c r="BQ28" s="291">
        <f t="shared" si="4"/>
        <v>103.14920043945312</v>
      </c>
      <c r="BR28" s="280"/>
      <c r="BS28" s="293" t="str">
        <f t="shared" si="46"/>
        <v>CHBTCAT2 D24</v>
      </c>
      <c r="BT28" s="290">
        <f t="shared" si="50"/>
        <v>372.65</v>
      </c>
      <c r="BU28" s="291">
        <f t="shared" si="51"/>
        <v>335.71430206298828</v>
      </c>
      <c r="BV28" s="281"/>
      <c r="BW28" s="281"/>
      <c r="BX28" s="281"/>
      <c r="BY28" s="281"/>
      <c r="BZ28" s="281"/>
      <c r="CA28" s="281"/>
      <c r="CB28" s="281"/>
      <c r="CC28" s="280"/>
      <c r="CD28" s="280" t="str">
        <f t="shared" si="31"/>
        <v>CHBTCAT2 D24</v>
      </c>
      <c r="CE28" s="280">
        <v>24.7</v>
      </c>
      <c r="CF28" s="280">
        <f t="shared" si="47"/>
        <v>112.88960266113281</v>
      </c>
      <c r="CG28" s="280"/>
      <c r="CH28" s="280" t="str">
        <f t="shared" si="32"/>
        <v>CHBTCAT2 D24</v>
      </c>
      <c r="CI28" s="280">
        <v>24.7</v>
      </c>
      <c r="CJ28" s="284">
        <f t="shared" si="33"/>
        <v>108.02100372314453</v>
      </c>
      <c r="CK28" s="280"/>
      <c r="CL28" s="280" t="str">
        <f t="shared" si="34"/>
        <v>CHBTCAT2 D24</v>
      </c>
      <c r="CM28" s="280">
        <v>24.7</v>
      </c>
      <c r="CN28" s="284">
        <f t="shared" si="35"/>
        <v>110.40029907226562</v>
      </c>
    </row>
    <row r="29" spans="1:92" ht="15" customHeight="1" x14ac:dyDescent="0.25">
      <c r="A29" s="286" t="s">
        <v>97</v>
      </c>
      <c r="B29" s="286">
        <v>0.6029999852180481</v>
      </c>
      <c r="C29" s="287">
        <v>0.61690002679824829</v>
      </c>
      <c r="D29" s="287">
        <v>0.61379998922348022</v>
      </c>
      <c r="E29" s="287">
        <v>0.58799999952316284</v>
      </c>
      <c r="F29" s="287">
        <v>0.60449999570846558</v>
      </c>
      <c r="G29" s="287">
        <v>0.57899999618530273</v>
      </c>
      <c r="H29" s="287">
        <v>0.59210002422332764</v>
      </c>
      <c r="I29" s="287">
        <v>0.58899998664855957</v>
      </c>
      <c r="J29" s="287">
        <v>0.52640002965927124</v>
      </c>
      <c r="K29" s="287">
        <v>0.57660001516342163</v>
      </c>
      <c r="L29" s="287">
        <v>0.55500000715255737</v>
      </c>
      <c r="M29" s="288">
        <v>0.57039999961853027</v>
      </c>
      <c r="N29" s="289">
        <f t="shared" si="5"/>
        <v>7.0147000551223755</v>
      </c>
      <c r="O29" s="265"/>
      <c r="P29" s="266"/>
      <c r="Q29" s="266"/>
      <c r="R29" s="272" t="str">
        <f t="shared" si="6"/>
        <v>CHBTCAT2 PC</v>
      </c>
      <c r="S29" s="290">
        <f t="shared" si="3"/>
        <v>0.57999999999999996</v>
      </c>
      <c r="T29" s="291">
        <f t="shared" si="36"/>
        <v>0.6029999852180481</v>
      </c>
      <c r="U29" s="270"/>
      <c r="V29" s="272" t="str">
        <f t="shared" si="7"/>
        <v>CHBTCAT2 PC</v>
      </c>
      <c r="W29" s="290">
        <f t="shared" si="37"/>
        <v>0.59</v>
      </c>
      <c r="X29" s="291">
        <f t="shared" si="8"/>
        <v>0.61690002679824829</v>
      </c>
      <c r="Y29" s="270"/>
      <c r="Z29" s="272" t="str">
        <f t="shared" si="9"/>
        <v>CHBTCAT2 PC</v>
      </c>
      <c r="AA29" s="290">
        <f t="shared" si="38"/>
        <v>0.6</v>
      </c>
      <c r="AB29" s="291">
        <f t="shared" si="10"/>
        <v>0.61379998922348022</v>
      </c>
      <c r="AC29" s="270"/>
      <c r="AD29" s="272" t="str">
        <f t="shared" si="11"/>
        <v>CHBTCAT2 PC</v>
      </c>
      <c r="AE29" s="290">
        <f t="shared" si="39"/>
        <v>1.77</v>
      </c>
      <c r="AF29" s="291">
        <f t="shared" si="40"/>
        <v>1.8337000012397766</v>
      </c>
      <c r="AG29" s="271"/>
      <c r="AH29" s="271"/>
      <c r="AI29" s="271"/>
      <c r="AJ29" s="271"/>
      <c r="AK29" s="271"/>
      <c r="AL29" s="272" t="str">
        <f t="shared" si="14"/>
        <v>CHBTCAT2 PC</v>
      </c>
      <c r="AM29" s="273">
        <f t="shared" si="15"/>
        <v>0.57999999999999996</v>
      </c>
      <c r="AN29" s="273">
        <f t="shared" si="16"/>
        <v>0.58799999952316284</v>
      </c>
      <c r="AO29" s="274"/>
      <c r="AP29" s="275" t="str">
        <f t="shared" si="17"/>
        <v>CHBTCAT2 PC</v>
      </c>
      <c r="AQ29" s="275">
        <f t="shared" si="18"/>
        <v>0.36</v>
      </c>
      <c r="AR29" s="273">
        <f t="shared" si="19"/>
        <v>0.60449999570846558</v>
      </c>
      <c r="AS29" s="276"/>
      <c r="AT29" s="275" t="str">
        <f t="shared" si="20"/>
        <v>CHBTCAT2 PC</v>
      </c>
      <c r="AU29" s="273">
        <f t="shared" si="21"/>
        <v>0.89</v>
      </c>
      <c r="AV29" s="273">
        <f t="shared" si="22"/>
        <v>0.57899999618530273</v>
      </c>
      <c r="AW29" s="277"/>
      <c r="AX29" s="275" t="str">
        <f t="shared" si="23"/>
        <v>CHBTCAT2 PC</v>
      </c>
      <c r="AY29" s="273">
        <f t="shared" si="48"/>
        <v>1.83</v>
      </c>
      <c r="AZ29" s="273">
        <f t="shared" si="49"/>
        <v>1.7714999914169312</v>
      </c>
      <c r="BA29" s="270"/>
      <c r="BB29" s="270"/>
      <c r="BC29" s="270"/>
      <c r="BD29" s="270"/>
      <c r="BE29" s="270"/>
      <c r="BF29" s="280"/>
      <c r="BG29" s="272" t="str">
        <f t="shared" si="26"/>
        <v>CHBTCAT2 PC</v>
      </c>
      <c r="BH29" s="290">
        <f t="shared" si="27"/>
        <v>0.64</v>
      </c>
      <c r="BI29" s="291">
        <f t="shared" si="41"/>
        <v>0.59210002422332764</v>
      </c>
      <c r="BJ29" s="280"/>
      <c r="BK29" s="272" t="str">
        <f t="shared" si="28"/>
        <v>CHBTCAT2 PC</v>
      </c>
      <c r="BL29" s="290">
        <f t="shared" si="42"/>
        <v>0.67</v>
      </c>
      <c r="BM29" s="290">
        <f t="shared" si="43"/>
        <v>0.58899998664855957</v>
      </c>
      <c r="BN29" s="281"/>
      <c r="BO29" s="292" t="str">
        <f t="shared" si="44"/>
        <v>CHBTCAT2 PC</v>
      </c>
      <c r="BP29" s="290">
        <f t="shared" si="45"/>
        <v>0.47</v>
      </c>
      <c r="BQ29" s="291">
        <f t="shared" si="4"/>
        <v>0.52640002965927124</v>
      </c>
      <c r="BR29" s="280"/>
      <c r="BS29" s="293" t="str">
        <f t="shared" si="46"/>
        <v>CHBTCAT2 PC</v>
      </c>
      <c r="BT29" s="290">
        <f t="shared" si="50"/>
        <v>1.78</v>
      </c>
      <c r="BU29" s="291">
        <f t="shared" si="51"/>
        <v>1.7075000405311584</v>
      </c>
      <c r="BV29" s="281"/>
      <c r="BW29" s="281"/>
      <c r="BX29" s="281"/>
      <c r="BY29" s="281"/>
      <c r="BZ29" s="281"/>
      <c r="CA29" s="281"/>
      <c r="CB29" s="281"/>
      <c r="CC29" s="280"/>
      <c r="CD29" s="280" t="str">
        <f t="shared" si="31"/>
        <v>CHBTCAT2 PC</v>
      </c>
      <c r="CE29" s="280">
        <v>25.7</v>
      </c>
      <c r="CF29" s="280">
        <f t="shared" si="47"/>
        <v>0.57660001516342163</v>
      </c>
      <c r="CG29" s="280"/>
      <c r="CH29" s="280" t="str">
        <f t="shared" si="32"/>
        <v>CHBTCAT2 PC</v>
      </c>
      <c r="CI29" s="280">
        <v>25.7</v>
      </c>
      <c r="CJ29" s="284">
        <f t="shared" si="33"/>
        <v>0.55500000715255737</v>
      </c>
      <c r="CK29" s="280"/>
      <c r="CL29" s="280" t="str">
        <f t="shared" si="34"/>
        <v>CHBTCAT2 PC</v>
      </c>
      <c r="CM29" s="280">
        <v>25.7</v>
      </c>
      <c r="CN29" s="284">
        <f t="shared" si="35"/>
        <v>0.57039999961853027</v>
      </c>
    </row>
    <row r="30" spans="1:92" ht="15" customHeight="1" x14ac:dyDescent="0.25">
      <c r="A30" s="286" t="s">
        <v>98</v>
      </c>
      <c r="B30" s="286">
        <v>201.40800476074219</v>
      </c>
      <c r="C30" s="287">
        <v>206.36700439453125</v>
      </c>
      <c r="D30" s="287">
        <v>204.65580749511719</v>
      </c>
      <c r="E30" s="287">
        <v>196.43400573730469</v>
      </c>
      <c r="F30" s="287">
        <v>201.34809875488281</v>
      </c>
      <c r="G30" s="287">
        <v>193.302001953125</v>
      </c>
      <c r="H30" s="287">
        <v>198.17680358886719</v>
      </c>
      <c r="I30" s="287">
        <v>196.62989807128906</v>
      </c>
      <c r="J30" s="287">
        <v>176.22639465332031</v>
      </c>
      <c r="K30" s="287">
        <v>193.61669921875</v>
      </c>
      <c r="L30" s="287">
        <v>185.95500183105469</v>
      </c>
      <c r="M30" s="288">
        <v>190.69960021972656</v>
      </c>
      <c r="N30" s="289">
        <f t="shared" si="5"/>
        <v>2344.8193206787109</v>
      </c>
      <c r="O30" s="265"/>
      <c r="P30" s="266"/>
      <c r="Q30" s="266"/>
      <c r="R30" s="272" t="str">
        <f t="shared" si="6"/>
        <v>CHBTCAT3 D24</v>
      </c>
      <c r="S30" s="290">
        <f t="shared" si="3"/>
        <v>205.93</v>
      </c>
      <c r="T30" s="291">
        <f t="shared" si="36"/>
        <v>201.40800476074219</v>
      </c>
      <c r="U30" s="270"/>
      <c r="V30" s="272" t="str">
        <f t="shared" si="7"/>
        <v>CHBTCAT3 D24</v>
      </c>
      <c r="W30" s="290">
        <f t="shared" si="37"/>
        <v>214.27</v>
      </c>
      <c r="X30" s="291">
        <f t="shared" si="8"/>
        <v>206.36700439453125</v>
      </c>
      <c r="Y30" s="270"/>
      <c r="Z30" s="272" t="str">
        <f t="shared" si="9"/>
        <v>CHBTCAT3 D24</v>
      </c>
      <c r="AA30" s="290">
        <f t="shared" si="38"/>
        <v>208.69</v>
      </c>
      <c r="AB30" s="291">
        <f t="shared" si="10"/>
        <v>204.65580749511719</v>
      </c>
      <c r="AC30" s="270"/>
      <c r="AD30" s="272" t="str">
        <f t="shared" si="11"/>
        <v>CHBTCAT3 D24</v>
      </c>
      <c r="AE30" s="290">
        <f t="shared" si="39"/>
        <v>628.8900000000001</v>
      </c>
      <c r="AF30" s="291">
        <f t="shared" si="40"/>
        <v>612.43081665039062</v>
      </c>
      <c r="AG30" s="271"/>
      <c r="AH30" s="271"/>
      <c r="AI30" s="271"/>
      <c r="AJ30" s="271"/>
      <c r="AK30" s="271"/>
      <c r="AL30" s="272" t="str">
        <f t="shared" si="14"/>
        <v>CHBTCAT3 D24</v>
      </c>
      <c r="AM30" s="273">
        <f t="shared" si="15"/>
        <v>177.26</v>
      </c>
      <c r="AN30" s="273">
        <f t="shared" si="16"/>
        <v>196.43400573730469</v>
      </c>
      <c r="AO30" s="274"/>
      <c r="AP30" s="275" t="str">
        <f t="shared" si="17"/>
        <v>CHBTCAT3 D24</v>
      </c>
      <c r="AQ30" s="275">
        <f t="shared" si="18"/>
        <v>177.72</v>
      </c>
      <c r="AR30" s="273">
        <f t="shared" si="19"/>
        <v>201.34809875488281</v>
      </c>
      <c r="AS30" s="276"/>
      <c r="AT30" s="275" t="str">
        <f t="shared" si="20"/>
        <v>CHBTCAT3 D24</v>
      </c>
      <c r="AU30" s="273">
        <f t="shared" si="21"/>
        <v>189.36</v>
      </c>
      <c r="AV30" s="273">
        <f t="shared" si="22"/>
        <v>193.302001953125</v>
      </c>
      <c r="AW30" s="277"/>
      <c r="AX30" s="275" t="str">
        <f t="shared" si="23"/>
        <v>CHBTCAT3 D24</v>
      </c>
      <c r="AY30" s="273">
        <f t="shared" si="48"/>
        <v>544.34</v>
      </c>
      <c r="AZ30" s="273">
        <f t="shared" si="49"/>
        <v>591.0841064453125</v>
      </c>
      <c r="BA30" s="270"/>
      <c r="BB30" s="270"/>
      <c r="BC30" s="270"/>
      <c r="BD30" s="270"/>
      <c r="BE30" s="270"/>
      <c r="BF30" s="280"/>
      <c r="BG30" s="272" t="str">
        <f t="shared" si="26"/>
        <v>CHBTCAT3 D24</v>
      </c>
      <c r="BH30" s="290">
        <f t="shared" si="27"/>
        <v>191.75</v>
      </c>
      <c r="BI30" s="291">
        <f t="shared" si="41"/>
        <v>198.17680358886719</v>
      </c>
      <c r="BJ30" s="280"/>
      <c r="BK30" s="272" t="str">
        <f t="shared" si="28"/>
        <v>CHBTCAT3 D24</v>
      </c>
      <c r="BL30" s="290">
        <f t="shared" si="42"/>
        <v>180.37</v>
      </c>
      <c r="BM30" s="290">
        <f t="shared" si="43"/>
        <v>196.62989807128906</v>
      </c>
      <c r="BN30" s="281"/>
      <c r="BO30" s="292" t="str">
        <f t="shared" si="44"/>
        <v>CHBTCAT3 D24</v>
      </c>
      <c r="BP30" s="290">
        <f t="shared" si="45"/>
        <v>163.84</v>
      </c>
      <c r="BQ30" s="291">
        <f t="shared" si="4"/>
        <v>176.22639465332031</v>
      </c>
      <c r="BR30" s="280"/>
      <c r="BS30" s="293" t="str">
        <f t="shared" si="46"/>
        <v>CHBTCAT3 D24</v>
      </c>
      <c r="BT30" s="290">
        <f t="shared" si="50"/>
        <v>535.96</v>
      </c>
      <c r="BU30" s="291">
        <f t="shared" si="51"/>
        <v>571.03309631347656</v>
      </c>
      <c r="BV30" s="281"/>
      <c r="BW30" s="281"/>
      <c r="BX30" s="281"/>
      <c r="BY30" s="281"/>
      <c r="BZ30" s="281"/>
      <c r="CA30" s="281"/>
      <c r="CB30" s="281"/>
      <c r="CC30" s="280"/>
      <c r="CD30" s="280" t="str">
        <f t="shared" si="31"/>
        <v>CHBTCAT3 D24</v>
      </c>
      <c r="CE30" s="280">
        <v>26.7</v>
      </c>
      <c r="CF30" s="280">
        <f t="shared" si="47"/>
        <v>193.61669921875</v>
      </c>
      <c r="CG30" s="280"/>
      <c r="CH30" s="280" t="str">
        <f t="shared" si="32"/>
        <v>CHBTCAT3 D24</v>
      </c>
      <c r="CI30" s="280">
        <v>26.7</v>
      </c>
      <c r="CJ30" s="284">
        <f t="shared" si="33"/>
        <v>185.95500183105469</v>
      </c>
      <c r="CK30" s="280"/>
      <c r="CL30" s="280" t="str">
        <f t="shared" si="34"/>
        <v>CHBTCAT3 D24</v>
      </c>
      <c r="CM30" s="280">
        <v>26.7</v>
      </c>
      <c r="CN30" s="284">
        <f t="shared" si="35"/>
        <v>190.69960021972656</v>
      </c>
    </row>
    <row r="31" spans="1:92" ht="15" customHeight="1" x14ac:dyDescent="0.25">
      <c r="A31" s="286" t="s">
        <v>99</v>
      </c>
      <c r="B31" s="286">
        <v>1.440000057220459</v>
      </c>
      <c r="C31" s="287">
        <v>1.4694000482559204</v>
      </c>
      <c r="D31" s="287">
        <v>1.447700023651123</v>
      </c>
      <c r="E31" s="287">
        <v>1.3830000162124634</v>
      </c>
      <c r="F31" s="287">
        <v>1.4105000495910645</v>
      </c>
      <c r="G31" s="287">
        <v>1.3500000238418579</v>
      </c>
      <c r="H31" s="287">
        <v>1.3763999938964844</v>
      </c>
      <c r="I31" s="287">
        <v>1.3609000444412231</v>
      </c>
      <c r="J31" s="287">
        <v>1.2151999473571777</v>
      </c>
      <c r="K31" s="287">
        <v>1.3299000263214111</v>
      </c>
      <c r="L31" s="287">
        <v>1.2719999551773071</v>
      </c>
      <c r="M31" s="288">
        <v>1.3020000457763672</v>
      </c>
      <c r="N31" s="289">
        <f t="shared" si="5"/>
        <v>16.357000231742859</v>
      </c>
      <c r="O31" s="265"/>
      <c r="P31" s="266"/>
      <c r="Q31" s="266"/>
      <c r="R31" s="272" t="str">
        <f t="shared" si="6"/>
        <v>DRYPINY6 D24</v>
      </c>
      <c r="S31" s="290">
        <f t="shared" si="3"/>
        <v>1.67</v>
      </c>
      <c r="T31" s="291">
        <f t="shared" si="36"/>
        <v>1.440000057220459</v>
      </c>
      <c r="U31" s="270"/>
      <c r="V31" s="272" t="str">
        <f t="shared" si="7"/>
        <v>DRYPINY6 D24</v>
      </c>
      <c r="W31" s="290">
        <f t="shared" si="37"/>
        <v>1.93</v>
      </c>
      <c r="X31" s="291">
        <f t="shared" si="8"/>
        <v>1.4694000482559204</v>
      </c>
      <c r="Y31" s="270"/>
      <c r="Z31" s="272" t="str">
        <f t="shared" si="9"/>
        <v>DRYPINY6 D24</v>
      </c>
      <c r="AA31" s="290">
        <f t="shared" si="38"/>
        <v>1.84</v>
      </c>
      <c r="AB31" s="291">
        <f t="shared" si="10"/>
        <v>1.447700023651123</v>
      </c>
      <c r="AC31" s="270"/>
      <c r="AD31" s="272" t="str">
        <f t="shared" si="11"/>
        <v>DRYPINY6 D24</v>
      </c>
      <c r="AE31" s="290">
        <f t="shared" si="39"/>
        <v>5.4399999999999995</v>
      </c>
      <c r="AF31" s="291">
        <f t="shared" si="40"/>
        <v>4.3571001291275024</v>
      </c>
      <c r="AG31" s="271"/>
      <c r="AH31" s="271"/>
      <c r="AI31" s="271"/>
      <c r="AJ31" s="271"/>
      <c r="AK31" s="271"/>
      <c r="AL31" s="272" t="str">
        <f t="shared" si="14"/>
        <v>DRYPINY6 D24</v>
      </c>
      <c r="AM31" s="273">
        <f t="shared" si="15"/>
        <v>1.52</v>
      </c>
      <c r="AN31" s="273">
        <f t="shared" si="16"/>
        <v>1.3830000162124634</v>
      </c>
      <c r="AO31" s="274"/>
      <c r="AP31" s="275" t="str">
        <f t="shared" si="17"/>
        <v>DRYPINY6 D24</v>
      </c>
      <c r="AQ31" s="275">
        <f t="shared" si="18"/>
        <v>1.72</v>
      </c>
      <c r="AR31" s="273">
        <f t="shared" si="19"/>
        <v>1.4105000495910645</v>
      </c>
      <c r="AS31" s="276"/>
      <c r="AT31" s="275" t="str">
        <f t="shared" si="20"/>
        <v>DRYPINY6 D24</v>
      </c>
      <c r="AU31" s="273">
        <f t="shared" si="21"/>
        <v>1.17</v>
      </c>
      <c r="AV31" s="273">
        <f t="shared" si="22"/>
        <v>1.3500000238418579</v>
      </c>
      <c r="AW31" s="277"/>
      <c r="AX31" s="275" t="str">
        <f t="shared" si="23"/>
        <v>DRYPINY6 D24</v>
      </c>
      <c r="AY31" s="273">
        <f t="shared" si="48"/>
        <v>4.41</v>
      </c>
      <c r="AZ31" s="273">
        <f t="shared" si="49"/>
        <v>4.1435000896453857</v>
      </c>
      <c r="BA31" s="270"/>
      <c r="BB31" s="270"/>
      <c r="BC31" s="270"/>
      <c r="BD31" s="270"/>
      <c r="BE31" s="270"/>
      <c r="BF31" s="280"/>
      <c r="BG31" s="272" t="str">
        <f t="shared" si="26"/>
        <v>DRYPINY6 D24</v>
      </c>
      <c r="BH31" s="290">
        <f t="shared" si="27"/>
        <v>1.67</v>
      </c>
      <c r="BI31" s="291">
        <f t="shared" si="41"/>
        <v>1.3763999938964844</v>
      </c>
      <c r="BJ31" s="280"/>
      <c r="BK31" s="272" t="str">
        <f t="shared" si="28"/>
        <v>DRYPINY6 D24</v>
      </c>
      <c r="BL31" s="290">
        <f t="shared" si="42"/>
        <v>1.83</v>
      </c>
      <c r="BM31" s="290">
        <f t="shared" si="43"/>
        <v>1.3609000444412231</v>
      </c>
      <c r="BN31" s="281"/>
      <c r="BO31" s="292" t="str">
        <f t="shared" si="44"/>
        <v>DRYPINY6 D24</v>
      </c>
      <c r="BP31" s="290">
        <f t="shared" si="45"/>
        <v>0.64</v>
      </c>
      <c r="BQ31" s="291">
        <f t="shared" si="4"/>
        <v>1.2151999473571777</v>
      </c>
      <c r="BR31" s="280"/>
      <c r="BS31" s="293" t="str">
        <f t="shared" si="46"/>
        <v>DRYPINY6 D24</v>
      </c>
      <c r="BT31" s="290">
        <f t="shared" si="50"/>
        <v>4.1399999999999997</v>
      </c>
      <c r="BU31" s="291">
        <f t="shared" si="51"/>
        <v>3.9524999856948853</v>
      </c>
      <c r="BV31" s="281"/>
      <c r="BW31" s="281"/>
      <c r="BX31" s="281"/>
      <c r="BY31" s="281"/>
      <c r="BZ31" s="281"/>
      <c r="CA31" s="281"/>
      <c r="CB31" s="281"/>
      <c r="CC31" s="280"/>
      <c r="CD31" s="280" t="str">
        <f t="shared" si="31"/>
        <v>DRYPINY6 D24</v>
      </c>
      <c r="CE31" s="280">
        <v>27.7</v>
      </c>
      <c r="CF31" s="280">
        <f t="shared" si="47"/>
        <v>1.3299000263214111</v>
      </c>
      <c r="CG31" s="280"/>
      <c r="CH31" s="280" t="str">
        <f t="shared" si="32"/>
        <v>DRYPINY6 D24</v>
      </c>
      <c r="CI31" s="280">
        <v>27.7</v>
      </c>
      <c r="CJ31" s="284">
        <f t="shared" si="33"/>
        <v>1.2719999551773071</v>
      </c>
      <c r="CK31" s="280"/>
      <c r="CL31" s="280" t="str">
        <f t="shared" si="34"/>
        <v>DRYPINY6 D24</v>
      </c>
      <c r="CM31" s="280">
        <v>27.7</v>
      </c>
      <c r="CN31" s="284">
        <f t="shared" si="35"/>
        <v>1.3020000457763672</v>
      </c>
    </row>
    <row r="32" spans="1:92" ht="15" customHeight="1" x14ac:dyDescent="0.25">
      <c r="A32" s="286" t="s">
        <v>100</v>
      </c>
      <c r="B32" s="286">
        <v>1.0313999652862549</v>
      </c>
      <c r="C32" s="287">
        <v>0.18950000405311584</v>
      </c>
      <c r="D32" s="287">
        <v>1.1686999797821045</v>
      </c>
      <c r="E32" s="287">
        <v>1.121999979019165</v>
      </c>
      <c r="F32" s="287">
        <v>1.1532000303268433</v>
      </c>
      <c r="G32" s="287">
        <v>1.1069999933242798</v>
      </c>
      <c r="H32" s="287">
        <v>1.134600043296814</v>
      </c>
      <c r="I32" s="287">
        <v>1.1283999681472778</v>
      </c>
      <c r="J32" s="287">
        <v>1.0108000040054321</v>
      </c>
      <c r="K32" s="287">
        <v>1.1129000186920166</v>
      </c>
      <c r="L32" s="287">
        <v>1.0679999589920044</v>
      </c>
      <c r="M32" s="288">
        <v>1.0973999500274658</v>
      </c>
      <c r="N32" s="289">
        <f t="shared" si="5"/>
        <v>12.323899894952774</v>
      </c>
      <c r="O32" s="265"/>
      <c r="P32" s="266"/>
      <c r="Q32" s="266"/>
      <c r="R32" s="272" t="str">
        <f t="shared" si="6"/>
        <v>DRYPINY6 PC</v>
      </c>
      <c r="S32" s="290">
        <f t="shared" si="3"/>
        <v>1.22</v>
      </c>
      <c r="T32" s="291">
        <f t="shared" si="36"/>
        <v>1.0313999652862549</v>
      </c>
      <c r="U32" s="270"/>
      <c r="V32" s="272" t="str">
        <f t="shared" si="7"/>
        <v>DRYPINY6 PC</v>
      </c>
      <c r="W32" s="290">
        <f t="shared" si="37"/>
        <v>1.31</v>
      </c>
      <c r="X32" s="291">
        <f t="shared" si="8"/>
        <v>0.18950000405311584</v>
      </c>
      <c r="Y32" s="270"/>
      <c r="Z32" s="272" t="str">
        <f t="shared" si="9"/>
        <v>DRYPINY6 PC</v>
      </c>
      <c r="AA32" s="290">
        <f t="shared" si="38"/>
        <v>1.27</v>
      </c>
      <c r="AB32" s="291">
        <f t="shared" si="10"/>
        <v>1.1686999797821045</v>
      </c>
      <c r="AC32" s="270"/>
      <c r="AD32" s="272" t="str">
        <f t="shared" si="11"/>
        <v>DRYPINY6 PC</v>
      </c>
      <c r="AE32" s="290">
        <f t="shared" si="39"/>
        <v>3.8000000000000003</v>
      </c>
      <c r="AF32" s="291">
        <f t="shared" si="40"/>
        <v>2.3895999491214752</v>
      </c>
      <c r="AG32" s="271"/>
      <c r="AH32" s="271"/>
      <c r="AI32" s="271"/>
      <c r="AJ32" s="271"/>
      <c r="AK32" s="271"/>
      <c r="AL32" s="272" t="str">
        <f t="shared" si="14"/>
        <v>DRYPINY6 PC</v>
      </c>
      <c r="AM32" s="273">
        <f t="shared" si="15"/>
        <v>1.1599999999999999</v>
      </c>
      <c r="AN32" s="273">
        <f t="shared" si="16"/>
        <v>1.121999979019165</v>
      </c>
      <c r="AO32" s="274"/>
      <c r="AP32" s="275" t="str">
        <f t="shared" si="17"/>
        <v>DRYPINY6 PC</v>
      </c>
      <c r="AQ32" s="275">
        <f t="shared" si="18"/>
        <v>1.28</v>
      </c>
      <c r="AR32" s="273">
        <f t="shared" si="19"/>
        <v>1.1532000303268433</v>
      </c>
      <c r="AS32" s="276"/>
      <c r="AT32" s="275" t="str">
        <f t="shared" si="20"/>
        <v>DRYPINY6 PC</v>
      </c>
      <c r="AU32" s="273">
        <f t="shared" si="21"/>
        <v>1.06</v>
      </c>
      <c r="AV32" s="273">
        <f t="shared" si="22"/>
        <v>1.1069999933242798</v>
      </c>
      <c r="AW32" s="277"/>
      <c r="AX32" s="275" t="str">
        <f t="shared" si="23"/>
        <v>DRYPINY6 PC</v>
      </c>
      <c r="AY32" s="273">
        <f t="shared" si="48"/>
        <v>3.5</v>
      </c>
      <c r="AZ32" s="273">
        <f t="shared" si="49"/>
        <v>3.3822000026702881</v>
      </c>
      <c r="BA32" s="270"/>
      <c r="BB32" s="270"/>
      <c r="BC32" s="270"/>
      <c r="BD32" s="270"/>
      <c r="BE32" s="270"/>
      <c r="BF32" s="280"/>
      <c r="BG32" s="272" t="str">
        <f t="shared" si="26"/>
        <v>DRYPINY6 PC</v>
      </c>
      <c r="BH32" s="290">
        <f t="shared" si="27"/>
        <v>1.08</v>
      </c>
      <c r="BI32" s="291">
        <f t="shared" si="41"/>
        <v>1.134600043296814</v>
      </c>
      <c r="BJ32" s="280"/>
      <c r="BK32" s="272" t="str">
        <f t="shared" si="28"/>
        <v>DRYPINY6 PC</v>
      </c>
      <c r="BL32" s="290">
        <f t="shared" si="42"/>
        <v>1.28</v>
      </c>
      <c r="BM32" s="290">
        <f t="shared" si="43"/>
        <v>1.1283999681472778</v>
      </c>
      <c r="BN32" s="281"/>
      <c r="BO32" s="292" t="str">
        <f t="shared" si="44"/>
        <v>DRYPINY6 PC</v>
      </c>
      <c r="BP32" s="290">
        <f t="shared" si="45"/>
        <v>1.03</v>
      </c>
      <c r="BQ32" s="291">
        <f t="shared" si="4"/>
        <v>1.0108000040054321</v>
      </c>
      <c r="BR32" s="280"/>
      <c r="BS32" s="293" t="str">
        <f t="shared" si="46"/>
        <v>DRYPINY6 PC</v>
      </c>
      <c r="BT32" s="290">
        <f t="shared" si="50"/>
        <v>3.3900000000000006</v>
      </c>
      <c r="BU32" s="291">
        <f t="shared" si="51"/>
        <v>3.2738000154495239</v>
      </c>
      <c r="BV32" s="281"/>
      <c r="BW32" s="281"/>
      <c r="BX32" s="281"/>
      <c r="BY32" s="281"/>
      <c r="BZ32" s="281"/>
      <c r="CA32" s="281"/>
      <c r="CB32" s="281"/>
      <c r="CC32" s="280"/>
      <c r="CD32" s="280" t="str">
        <f t="shared" si="31"/>
        <v>DRYPINY6 PC</v>
      </c>
      <c r="CE32" s="280">
        <v>28.7</v>
      </c>
      <c r="CF32" s="280">
        <f t="shared" si="47"/>
        <v>1.1129000186920166</v>
      </c>
      <c r="CG32" s="280"/>
      <c r="CH32" s="280" t="str">
        <f t="shared" si="32"/>
        <v>DRYPINY6 PC</v>
      </c>
      <c r="CI32" s="280">
        <v>28.7</v>
      </c>
      <c r="CJ32" s="284">
        <f t="shared" si="33"/>
        <v>1.0679999589920044</v>
      </c>
      <c r="CK32" s="280"/>
      <c r="CL32" s="280" t="str">
        <f t="shared" si="34"/>
        <v>DRYPINY6 PC</v>
      </c>
      <c r="CM32" s="280">
        <v>28.7</v>
      </c>
      <c r="CN32" s="284">
        <f t="shared" si="35"/>
        <v>1.0973999500274658</v>
      </c>
    </row>
    <row r="33" spans="1:92" ht="15" customHeight="1" x14ac:dyDescent="0.25">
      <c r="A33" s="286" t="s">
        <v>101</v>
      </c>
      <c r="B33" s="286">
        <v>8.2770004272460937</v>
      </c>
      <c r="C33" s="287">
        <v>8.4753999710083008</v>
      </c>
      <c r="D33" s="287">
        <v>8.3978996276855469</v>
      </c>
      <c r="E33" s="287">
        <v>8.0520000457763672</v>
      </c>
      <c r="F33" s="287">
        <v>8.2460002899169922</v>
      </c>
      <c r="G33" s="287">
        <v>7.9109997749328613</v>
      </c>
      <c r="H33" s="287">
        <v>8.1034002304077148</v>
      </c>
      <c r="I33" s="287">
        <v>8.032099723815918</v>
      </c>
      <c r="J33" s="287">
        <v>7.1932001113891602</v>
      </c>
      <c r="K33" s="287">
        <v>7.8956999778747559</v>
      </c>
      <c r="L33" s="287">
        <v>7.5780000686645508</v>
      </c>
      <c r="M33" s="288">
        <v>7.7655000686645508</v>
      </c>
      <c r="N33" s="289">
        <f t="shared" si="5"/>
        <v>95.927200317382813</v>
      </c>
      <c r="O33" s="265"/>
      <c r="P33" s="266"/>
      <c r="Q33" s="266"/>
      <c r="R33" s="272" t="str">
        <f t="shared" si="6"/>
        <v>DRYPINYU D24</v>
      </c>
      <c r="S33" s="290">
        <f t="shared" si="3"/>
        <v>10.1</v>
      </c>
      <c r="T33" s="291">
        <f t="shared" si="36"/>
        <v>8.2770004272460937</v>
      </c>
      <c r="U33" s="270"/>
      <c r="V33" s="272" t="str">
        <f t="shared" si="7"/>
        <v>DRYPINYU D24</v>
      </c>
      <c r="W33" s="290">
        <f t="shared" si="37"/>
        <v>9.91</v>
      </c>
      <c r="X33" s="291">
        <f t="shared" si="8"/>
        <v>8.4753999710083008</v>
      </c>
      <c r="Y33" s="270"/>
      <c r="Z33" s="272" t="str">
        <f t="shared" si="9"/>
        <v>DRYPINYU D24</v>
      </c>
      <c r="AA33" s="290">
        <f t="shared" si="38"/>
        <v>9.76</v>
      </c>
      <c r="AB33" s="291">
        <f t="shared" si="10"/>
        <v>8.3978996276855469</v>
      </c>
      <c r="AC33" s="270"/>
      <c r="AD33" s="272" t="str">
        <f t="shared" si="11"/>
        <v>DRYPINYU D24</v>
      </c>
      <c r="AE33" s="290">
        <f t="shared" si="39"/>
        <v>29.769999999999996</v>
      </c>
      <c r="AF33" s="291">
        <f t="shared" si="40"/>
        <v>25.150300025939941</v>
      </c>
      <c r="AG33" s="271"/>
      <c r="AH33" s="271"/>
      <c r="AI33" s="271"/>
      <c r="AJ33" s="271"/>
      <c r="AK33" s="271"/>
      <c r="AL33" s="272" t="str">
        <f t="shared" si="14"/>
        <v>DRYPINYU D24</v>
      </c>
      <c r="AM33" s="273">
        <f t="shared" si="15"/>
        <v>9.02</v>
      </c>
      <c r="AN33" s="273">
        <f t="shared" si="16"/>
        <v>8.0520000457763672</v>
      </c>
      <c r="AO33" s="274"/>
      <c r="AP33" s="275" t="str">
        <f t="shared" si="17"/>
        <v>DRYPINYU D24</v>
      </c>
      <c r="AQ33" s="275">
        <f t="shared" si="18"/>
        <v>9.59</v>
      </c>
      <c r="AR33" s="273">
        <f t="shared" si="19"/>
        <v>8.2460002899169922</v>
      </c>
      <c r="AS33" s="276"/>
      <c r="AT33" s="275" t="str">
        <f t="shared" si="20"/>
        <v>DRYPINYU D24</v>
      </c>
      <c r="AU33" s="273">
        <f t="shared" si="21"/>
        <v>8.07</v>
      </c>
      <c r="AV33" s="273">
        <f t="shared" si="22"/>
        <v>7.9109997749328613</v>
      </c>
      <c r="AW33" s="277"/>
      <c r="AX33" s="275" t="str">
        <f t="shared" si="23"/>
        <v>DRYPINYU D24</v>
      </c>
      <c r="AY33" s="273">
        <f t="shared" si="48"/>
        <v>26.68</v>
      </c>
      <c r="AZ33" s="273">
        <f t="shared" si="49"/>
        <v>24.209000110626221</v>
      </c>
      <c r="BA33" s="270"/>
      <c r="BB33" s="270"/>
      <c r="BC33" s="270"/>
      <c r="BD33" s="270"/>
      <c r="BE33" s="270"/>
      <c r="BF33" s="280"/>
      <c r="BG33" s="272" t="str">
        <f t="shared" si="26"/>
        <v>DRYPINYU D24</v>
      </c>
      <c r="BH33" s="290">
        <f t="shared" si="27"/>
        <v>7.42</v>
      </c>
      <c r="BI33" s="291">
        <f t="shared" si="41"/>
        <v>8.1034002304077148</v>
      </c>
      <c r="BJ33" s="280"/>
      <c r="BK33" s="272" t="str">
        <f t="shared" si="28"/>
        <v>DRYPINYU D24</v>
      </c>
      <c r="BL33" s="290">
        <f>IFERROR(VLOOKUP($BK33,$BK$111:$BL$195,2,FALSE),0)</f>
        <v>8.01</v>
      </c>
      <c r="BM33" s="290">
        <f t="shared" si="43"/>
        <v>8.032099723815918</v>
      </c>
      <c r="BN33" s="281"/>
      <c r="BO33" s="292" t="str">
        <f t="shared" si="44"/>
        <v>DRYPINYU D24</v>
      </c>
      <c r="BP33" s="290">
        <f t="shared" si="45"/>
        <v>7.8</v>
      </c>
      <c r="BQ33" s="291">
        <f t="shared" si="4"/>
        <v>7.1932001113891602</v>
      </c>
      <c r="BR33" s="280"/>
      <c r="BS33" s="293" t="str">
        <f t="shared" si="46"/>
        <v>DRYPINYU D24</v>
      </c>
      <c r="BT33" s="290">
        <f t="shared" si="50"/>
        <v>23.23</v>
      </c>
      <c r="BU33" s="291">
        <f t="shared" si="51"/>
        <v>23.328700065612793</v>
      </c>
      <c r="BV33" s="281"/>
      <c r="BW33" s="281"/>
      <c r="BX33" s="281"/>
      <c r="BY33" s="281"/>
      <c r="BZ33" s="281"/>
      <c r="CA33" s="281"/>
      <c r="CB33" s="281"/>
      <c r="CC33" s="280"/>
      <c r="CD33" s="280" t="str">
        <f t="shared" si="31"/>
        <v>DRYPINYU D24</v>
      </c>
      <c r="CE33" s="280">
        <v>29.7</v>
      </c>
      <c r="CF33" s="280">
        <f t="shared" si="47"/>
        <v>7.8956999778747559</v>
      </c>
      <c r="CG33" s="280"/>
      <c r="CH33" s="280" t="str">
        <f t="shared" si="32"/>
        <v>DRYPINYU D24</v>
      </c>
      <c r="CI33" s="280">
        <v>29.7</v>
      </c>
      <c r="CJ33" s="284">
        <f t="shared" si="33"/>
        <v>7.5780000686645508</v>
      </c>
      <c r="CK33" s="280"/>
      <c r="CL33" s="280" t="str">
        <f t="shared" si="34"/>
        <v>DRYPINYU D24</v>
      </c>
      <c r="CM33" s="280">
        <v>29.7</v>
      </c>
      <c r="CN33" s="284">
        <f t="shared" si="35"/>
        <v>7.7655000686645508</v>
      </c>
    </row>
    <row r="34" spans="1:92" ht="15" customHeight="1" x14ac:dyDescent="0.25">
      <c r="A34" s="286" t="s">
        <v>102</v>
      </c>
      <c r="B34" s="286">
        <v>11.243137359619141</v>
      </c>
      <c r="C34" s="287">
        <v>1.9984999895095825</v>
      </c>
      <c r="D34" s="287">
        <v>12.310099601745605</v>
      </c>
      <c r="E34" s="287">
        <v>11.835000038146973</v>
      </c>
      <c r="F34" s="287">
        <v>12.155099868774414</v>
      </c>
      <c r="G34" s="287">
        <v>11.687999725341797</v>
      </c>
      <c r="H34" s="287">
        <v>11.996999740600586</v>
      </c>
      <c r="I34" s="287">
        <v>11.922599792480469</v>
      </c>
      <c r="J34" s="287">
        <v>10.701600074768066</v>
      </c>
      <c r="K34" s="287">
        <v>11.770700454711914</v>
      </c>
      <c r="L34" s="287">
        <v>11.319000244140625</v>
      </c>
      <c r="M34" s="288">
        <v>11.621899604797363</v>
      </c>
      <c r="N34" s="289">
        <f t="shared" si="5"/>
        <v>130.56263649463654</v>
      </c>
      <c r="P34" s="266"/>
      <c r="Q34" s="266"/>
      <c r="R34" s="272" t="str">
        <f t="shared" si="6"/>
        <v>DRYPINYU PC</v>
      </c>
      <c r="S34" s="290">
        <f t="shared" si="3"/>
        <v>21.19</v>
      </c>
      <c r="T34" s="291">
        <f t="shared" si="36"/>
        <v>11.243137359619141</v>
      </c>
      <c r="U34" s="270"/>
      <c r="V34" s="272" t="str">
        <f t="shared" si="7"/>
        <v>DRYPINYU PC</v>
      </c>
      <c r="W34" s="290">
        <f t="shared" si="37"/>
        <v>20.02</v>
      </c>
      <c r="X34" s="291">
        <f t="shared" si="8"/>
        <v>1.9984999895095825</v>
      </c>
      <c r="Y34" s="270"/>
      <c r="Z34" s="272" t="str">
        <f t="shared" si="9"/>
        <v>DRYPINYU PC</v>
      </c>
      <c r="AA34" s="290">
        <f t="shared" si="38"/>
        <v>18.45</v>
      </c>
      <c r="AB34" s="291">
        <f t="shared" si="10"/>
        <v>12.310099601745605</v>
      </c>
      <c r="AC34" s="270"/>
      <c r="AD34" s="272" t="str">
        <f t="shared" si="11"/>
        <v>DRYPINYU PC</v>
      </c>
      <c r="AE34" s="290">
        <f t="shared" si="39"/>
        <v>59.66</v>
      </c>
      <c r="AF34" s="291">
        <f t="shared" si="40"/>
        <v>25.551736950874329</v>
      </c>
      <c r="AG34" s="271"/>
      <c r="AH34" s="271"/>
      <c r="AI34" s="271"/>
      <c r="AJ34" s="271"/>
      <c r="AK34" s="271"/>
      <c r="AL34" s="272" t="str">
        <f t="shared" si="14"/>
        <v>DRYPINYU PC</v>
      </c>
      <c r="AM34" s="273">
        <f t="shared" si="15"/>
        <v>15.8</v>
      </c>
      <c r="AN34" s="273">
        <f t="shared" si="16"/>
        <v>11.835000038146973</v>
      </c>
      <c r="AO34" s="274"/>
      <c r="AP34" s="275" t="str">
        <f t="shared" si="17"/>
        <v>DRYPINYU PC</v>
      </c>
      <c r="AQ34" s="275">
        <f t="shared" si="18"/>
        <v>16.940000000000001</v>
      </c>
      <c r="AR34" s="273">
        <f t="shared" si="19"/>
        <v>12.155099868774414</v>
      </c>
      <c r="AS34" s="276"/>
      <c r="AT34" s="275" t="str">
        <f t="shared" si="20"/>
        <v>DRYPINYU PC</v>
      </c>
      <c r="AU34" s="273">
        <f t="shared" si="21"/>
        <v>14.27</v>
      </c>
      <c r="AV34" s="273">
        <f t="shared" si="22"/>
        <v>11.687999725341797</v>
      </c>
      <c r="AW34" s="277"/>
      <c r="AX34" s="275" t="str">
        <f t="shared" si="23"/>
        <v>DRYPINYU PC</v>
      </c>
      <c r="AY34" s="273">
        <f t="shared" si="48"/>
        <v>47.010000000000005</v>
      </c>
      <c r="AZ34" s="273">
        <f t="shared" si="49"/>
        <v>35.678099632263184</v>
      </c>
      <c r="BA34" s="270"/>
      <c r="BB34" s="270"/>
      <c r="BC34" s="270"/>
      <c r="BD34" s="270"/>
      <c r="BE34" s="270"/>
      <c r="BF34" s="280"/>
      <c r="BG34" s="272" t="str">
        <f t="shared" si="26"/>
        <v>DRYPINYU PC</v>
      </c>
      <c r="BH34" s="290">
        <f t="shared" si="27"/>
        <v>12.44</v>
      </c>
      <c r="BI34" s="291">
        <f t="shared" si="41"/>
        <v>11.996999740600586</v>
      </c>
      <c r="BJ34" s="280"/>
      <c r="BK34" s="272" t="str">
        <f t="shared" si="28"/>
        <v>DRYPINYU PC</v>
      </c>
      <c r="BL34" s="290">
        <f t="shared" si="42"/>
        <v>10.4</v>
      </c>
      <c r="BM34" s="290">
        <f t="shared" si="43"/>
        <v>11.922599792480469</v>
      </c>
      <c r="BN34" s="281"/>
      <c r="BO34" s="292" t="str">
        <f t="shared" si="44"/>
        <v>DRYPINYU PC</v>
      </c>
      <c r="BP34" s="290">
        <f t="shared" si="45"/>
        <v>12.07</v>
      </c>
      <c r="BQ34" s="291">
        <f t="shared" si="4"/>
        <v>10.701600074768066</v>
      </c>
      <c r="BR34" s="280"/>
      <c r="BS34" s="293" t="str">
        <f t="shared" si="46"/>
        <v>DRYPINYU PC</v>
      </c>
      <c r="BT34" s="290">
        <f t="shared" si="50"/>
        <v>34.909999999999997</v>
      </c>
      <c r="BU34" s="291">
        <f t="shared" si="51"/>
        <v>34.621199607849121</v>
      </c>
      <c r="BV34" s="281"/>
      <c r="BW34" s="281"/>
      <c r="BX34" s="281"/>
      <c r="BY34" s="281"/>
      <c r="BZ34" s="281"/>
      <c r="CA34" s="281"/>
      <c r="CB34" s="281"/>
      <c r="CC34" s="280"/>
      <c r="CD34" s="280" t="str">
        <f t="shared" si="31"/>
        <v>DRYPINYU PC</v>
      </c>
      <c r="CE34" s="280">
        <v>30.7</v>
      </c>
      <c r="CF34" s="280">
        <f t="shared" si="47"/>
        <v>11.770700454711914</v>
      </c>
      <c r="CG34" s="280"/>
      <c r="CH34" s="280" t="str">
        <f t="shared" si="32"/>
        <v>DRYPINYU PC</v>
      </c>
      <c r="CI34" s="280">
        <v>30.7</v>
      </c>
      <c r="CJ34" s="284">
        <f t="shared" si="33"/>
        <v>11.319000244140625</v>
      </c>
      <c r="CK34" s="280"/>
      <c r="CL34" s="280" t="str">
        <f t="shared" si="34"/>
        <v>DRYPINYU PC</v>
      </c>
      <c r="CM34" s="280">
        <v>30.7</v>
      </c>
      <c r="CN34" s="284">
        <f t="shared" si="35"/>
        <v>11.621899604797363</v>
      </c>
    </row>
    <row r="35" spans="1:92" ht="15" customHeight="1" x14ac:dyDescent="0.25">
      <c r="A35" s="286" t="s">
        <v>103</v>
      </c>
      <c r="B35" s="286">
        <v>0.45089998841285706</v>
      </c>
      <c r="C35" s="287">
        <v>9.2000000178813934E-2</v>
      </c>
      <c r="D35" s="287">
        <v>0.62000000476837158</v>
      </c>
      <c r="E35" s="287">
        <v>0.65100002288818359</v>
      </c>
      <c r="F35" s="287">
        <v>0.72229999303817749</v>
      </c>
      <c r="G35" s="287">
        <v>0.69300001859664917</v>
      </c>
      <c r="H35" s="287">
        <v>0.70990002155303955</v>
      </c>
      <c r="I35" s="287">
        <v>0.70679998397827148</v>
      </c>
      <c r="J35" s="287">
        <v>0.63279998302459717</v>
      </c>
      <c r="K35" s="287">
        <v>0.69440001249313354</v>
      </c>
      <c r="L35" s="287">
        <v>0.66600000858306885</v>
      </c>
      <c r="M35" s="288">
        <v>0.6851000189781189</v>
      </c>
      <c r="N35" s="289">
        <f t="shared" si="5"/>
        <v>7.3242000564932823</v>
      </c>
      <c r="P35" s="266"/>
      <c r="Q35" s="266"/>
      <c r="R35" s="272" t="str">
        <f t="shared" si="6"/>
        <v>DRYPINYU PW</v>
      </c>
      <c r="S35" s="290">
        <f>VLOOKUP(R35,$R$118:$S$209,2,FALSE)</f>
        <v>0</v>
      </c>
      <c r="T35" s="291">
        <f t="shared" si="36"/>
        <v>0.45089998841285706</v>
      </c>
      <c r="U35" s="270"/>
      <c r="V35" s="272" t="str">
        <f t="shared" si="7"/>
        <v>DRYPINYU PW</v>
      </c>
      <c r="W35" s="290">
        <f t="shared" si="37"/>
        <v>0</v>
      </c>
      <c r="X35" s="291">
        <f t="shared" si="8"/>
        <v>9.2000000178813934E-2</v>
      </c>
      <c r="Y35" s="270"/>
      <c r="Z35" s="272" t="str">
        <f t="shared" si="9"/>
        <v>DRYPINYU PW</v>
      </c>
      <c r="AA35" s="290">
        <f t="shared" si="38"/>
        <v>0</v>
      </c>
      <c r="AB35" s="291">
        <f t="shared" si="10"/>
        <v>0.62000000476837158</v>
      </c>
      <c r="AC35" s="270"/>
      <c r="AD35" s="272" t="str">
        <f t="shared" si="11"/>
        <v>DRYPINYU PW</v>
      </c>
      <c r="AE35" s="290">
        <f t="shared" si="39"/>
        <v>0</v>
      </c>
      <c r="AF35" s="291">
        <f t="shared" si="40"/>
        <v>1.1628999933600426</v>
      </c>
      <c r="AG35" s="271"/>
      <c r="AH35" s="271"/>
      <c r="AI35" s="271"/>
      <c r="AJ35" s="271"/>
      <c r="AK35" s="271"/>
      <c r="AL35" s="272" t="str">
        <f t="shared" si="14"/>
        <v>DRYPINYU PW</v>
      </c>
      <c r="AM35" s="273">
        <f t="shared" si="15"/>
        <v>0</v>
      </c>
      <c r="AN35" s="273">
        <f t="shared" si="16"/>
        <v>0.65100002288818359</v>
      </c>
      <c r="AO35" s="274"/>
      <c r="AP35" s="275" t="str">
        <f t="shared" si="17"/>
        <v>DRYPINYU PW</v>
      </c>
      <c r="AQ35" s="275">
        <f t="shared" si="18"/>
        <v>0</v>
      </c>
      <c r="AR35" s="273">
        <f t="shared" si="19"/>
        <v>0.72229999303817749</v>
      </c>
      <c r="AS35" s="276"/>
      <c r="AT35" s="275" t="str">
        <f t="shared" si="20"/>
        <v>DRYPINYU PW</v>
      </c>
      <c r="AU35" s="273">
        <f t="shared" si="21"/>
        <v>0</v>
      </c>
      <c r="AV35" s="273">
        <f t="shared" si="22"/>
        <v>0.69300001859664917</v>
      </c>
      <c r="AW35" s="277"/>
      <c r="AX35" s="275" t="str">
        <f t="shared" si="23"/>
        <v>DRYPINYU PW</v>
      </c>
      <c r="AY35" s="273">
        <f t="shared" si="48"/>
        <v>0</v>
      </c>
      <c r="AZ35" s="273">
        <f t="shared" si="49"/>
        <v>2.0663000345230103</v>
      </c>
      <c r="BA35" s="270"/>
      <c r="BB35" s="270"/>
      <c r="BC35" s="270"/>
      <c r="BD35" s="270"/>
      <c r="BE35" s="270"/>
      <c r="BF35" s="280"/>
      <c r="BG35" s="272" t="str">
        <f t="shared" si="26"/>
        <v>DRYPINYU PW</v>
      </c>
      <c r="BH35" s="290">
        <f t="shared" si="27"/>
        <v>0</v>
      </c>
      <c r="BI35" s="291">
        <f t="shared" si="41"/>
        <v>0.70990002155303955</v>
      </c>
      <c r="BJ35" s="280"/>
      <c r="BK35" s="272" t="str">
        <f t="shared" si="28"/>
        <v>DRYPINYU PW</v>
      </c>
      <c r="BL35" s="290">
        <f t="shared" si="42"/>
        <v>0</v>
      </c>
      <c r="BM35" s="290">
        <f t="shared" si="43"/>
        <v>0.70679998397827148</v>
      </c>
      <c r="BN35" s="281"/>
      <c r="BO35" s="292" t="str">
        <f t="shared" si="44"/>
        <v>DRYPINYU PW</v>
      </c>
      <c r="BP35" s="290">
        <f t="shared" si="45"/>
        <v>0</v>
      </c>
      <c r="BQ35" s="291">
        <f t="shared" si="4"/>
        <v>0.63279998302459717</v>
      </c>
      <c r="BR35" s="280"/>
      <c r="BS35" s="293" t="str">
        <f t="shared" si="46"/>
        <v>DRYPINYU PW</v>
      </c>
      <c r="BT35" s="290">
        <f t="shared" si="50"/>
        <v>0</v>
      </c>
      <c r="BU35" s="291">
        <f t="shared" si="51"/>
        <v>2.0494999885559082</v>
      </c>
      <c r="BV35" s="281"/>
      <c r="BW35" s="281"/>
      <c r="BX35" s="281"/>
      <c r="BY35" s="281"/>
      <c r="BZ35" s="281"/>
      <c r="CA35" s="281"/>
      <c r="CB35" s="281"/>
      <c r="CC35" s="280"/>
      <c r="CD35" s="280" t="str">
        <f t="shared" si="31"/>
        <v>DRYPINYU PW</v>
      </c>
      <c r="CE35" s="280">
        <v>31.7</v>
      </c>
      <c r="CF35" s="280">
        <f t="shared" si="47"/>
        <v>0.69440001249313354</v>
      </c>
      <c r="CG35" s="280"/>
      <c r="CH35" s="280" t="str">
        <f t="shared" si="32"/>
        <v>DRYPINYU PW</v>
      </c>
      <c r="CI35" s="280">
        <v>31.7</v>
      </c>
      <c r="CJ35" s="284">
        <f t="shared" si="33"/>
        <v>0.66600000858306885</v>
      </c>
      <c r="CK35" s="280"/>
      <c r="CL35" s="280" t="str">
        <f t="shared" si="34"/>
        <v>DRYPINYU PW</v>
      </c>
      <c r="CM35" s="280">
        <v>31.7</v>
      </c>
      <c r="CN35" s="284">
        <f t="shared" si="35"/>
        <v>0.6851000189781189</v>
      </c>
    </row>
    <row r="36" spans="1:92" ht="15" customHeight="1" x14ac:dyDescent="0.25">
      <c r="A36" s="286" t="s">
        <v>104</v>
      </c>
      <c r="B36" s="286">
        <v>0.38999998569488525</v>
      </c>
      <c r="C36" s="287">
        <v>0.39989998936653137</v>
      </c>
      <c r="D36" s="287">
        <v>0.39680001139640808</v>
      </c>
      <c r="E36" s="287">
        <v>0.37799999117851257</v>
      </c>
      <c r="F36" s="287">
        <v>0.38749998807907104</v>
      </c>
      <c r="G36" s="287">
        <v>0.37200000882148743</v>
      </c>
      <c r="H36" s="287">
        <v>0.38130000233650208</v>
      </c>
      <c r="I36" s="287">
        <v>0.3781999945640564</v>
      </c>
      <c r="J36" s="287">
        <v>0.33880001306533813</v>
      </c>
      <c r="K36" s="287">
        <v>0.36890000104904175</v>
      </c>
      <c r="L36" s="287">
        <v>0.35400000214576721</v>
      </c>
      <c r="M36" s="288">
        <v>0.36</v>
      </c>
      <c r="N36" s="289">
        <f t="shared" si="5"/>
        <v>4.5053999876976016</v>
      </c>
      <c r="O36" s="265"/>
      <c r="P36" s="266"/>
      <c r="Q36" s="266"/>
      <c r="R36" s="272" t="str">
        <f t="shared" si="6"/>
        <v>FOGARTY PC</v>
      </c>
      <c r="S36" s="290">
        <f t="shared" ref="S36:S67" si="52">VLOOKUP(R36,$R$118:$S$208,2,FALSE)</f>
        <v>1.1299999999999999</v>
      </c>
      <c r="T36" s="291">
        <f t="shared" si="36"/>
        <v>0.38999998569488525</v>
      </c>
      <c r="U36" s="270"/>
      <c r="V36" s="272" t="str">
        <f t="shared" si="7"/>
        <v>FOGARTY PC</v>
      </c>
      <c r="W36" s="290">
        <f t="shared" si="37"/>
        <v>1.08</v>
      </c>
      <c r="X36" s="291">
        <f t="shared" si="8"/>
        <v>0.39989998936653137</v>
      </c>
      <c r="Y36" s="270"/>
      <c r="Z36" s="272" t="str">
        <f t="shared" si="9"/>
        <v>FOGARTY PC</v>
      </c>
      <c r="AA36" s="290">
        <f t="shared" si="38"/>
        <v>0.78</v>
      </c>
      <c r="AB36" s="291">
        <f t="shared" si="10"/>
        <v>0.39680001139640808</v>
      </c>
      <c r="AC36" s="270"/>
      <c r="AD36" s="272" t="str">
        <f t="shared" si="11"/>
        <v>FOGARTY PC</v>
      </c>
      <c r="AE36" s="290">
        <f t="shared" si="39"/>
        <v>2.99</v>
      </c>
      <c r="AF36" s="291">
        <f t="shared" si="40"/>
        <v>1.1866999864578247</v>
      </c>
      <c r="AG36" s="271"/>
      <c r="AH36" s="271"/>
      <c r="AI36" s="271"/>
      <c r="AJ36" s="271"/>
      <c r="AK36" s="271"/>
      <c r="AL36" s="272" t="str">
        <f t="shared" si="14"/>
        <v>FOGARTY PC</v>
      </c>
      <c r="AM36" s="273">
        <f t="shared" si="15"/>
        <v>0.7</v>
      </c>
      <c r="AN36" s="273">
        <f t="shared" si="16"/>
        <v>0.37799999117851257</v>
      </c>
      <c r="AO36" s="274"/>
      <c r="AP36" s="275" t="str">
        <f t="shared" si="17"/>
        <v>FOGARTY PC</v>
      </c>
      <c r="AQ36" s="275">
        <f t="shared" si="18"/>
        <v>0.57999999999999996</v>
      </c>
      <c r="AR36" s="273">
        <f t="shared" si="19"/>
        <v>0.38749998807907104</v>
      </c>
      <c r="AS36" s="276"/>
      <c r="AT36" s="275" t="str">
        <f t="shared" si="20"/>
        <v>FOGARTY PC</v>
      </c>
      <c r="AU36" s="273">
        <f t="shared" si="21"/>
        <v>0.82</v>
      </c>
      <c r="AV36" s="273">
        <f t="shared" si="22"/>
        <v>0.37200000882148743</v>
      </c>
      <c r="AW36" s="277"/>
      <c r="AX36" s="275" t="str">
        <f t="shared" si="23"/>
        <v>FOGARTY PC</v>
      </c>
      <c r="AY36" s="273">
        <f t="shared" si="48"/>
        <v>2.0999999999999996</v>
      </c>
      <c r="AZ36" s="273">
        <f t="shared" si="49"/>
        <v>1.137499988079071</v>
      </c>
      <c r="BA36" s="270"/>
      <c r="BB36" s="270"/>
      <c r="BC36" s="270"/>
      <c r="BD36" s="270"/>
      <c r="BE36" s="270"/>
      <c r="BF36" s="280"/>
      <c r="BG36" s="272" t="str">
        <f t="shared" si="26"/>
        <v>FOGARTY PC</v>
      </c>
      <c r="BH36" s="290">
        <f t="shared" si="27"/>
        <v>0.52</v>
      </c>
      <c r="BI36" s="291">
        <f t="shared" si="41"/>
        <v>0.38130000233650208</v>
      </c>
      <c r="BJ36" s="280"/>
      <c r="BK36" s="272" t="str">
        <f t="shared" si="28"/>
        <v>FOGARTY PC</v>
      </c>
      <c r="BL36" s="290">
        <f t="shared" si="42"/>
        <v>0.35</v>
      </c>
      <c r="BM36" s="290">
        <f t="shared" si="43"/>
        <v>0.3781999945640564</v>
      </c>
      <c r="BN36" s="281"/>
      <c r="BO36" s="292" t="str">
        <f t="shared" si="44"/>
        <v>FOGARTY PC</v>
      </c>
      <c r="BP36" s="290">
        <f t="shared" si="45"/>
        <v>0.42</v>
      </c>
      <c r="BQ36" s="291">
        <f t="shared" si="4"/>
        <v>0.33880001306533813</v>
      </c>
      <c r="BR36" s="280"/>
      <c r="BS36" s="293" t="str">
        <f t="shared" si="46"/>
        <v>FOGARTY PC</v>
      </c>
      <c r="BT36" s="290">
        <f t="shared" si="50"/>
        <v>1.29</v>
      </c>
      <c r="BU36" s="291">
        <f t="shared" si="51"/>
        <v>1.0983000099658966</v>
      </c>
      <c r="BV36" s="281"/>
      <c r="BW36" s="281"/>
      <c r="BX36" s="281"/>
      <c r="BY36" s="281"/>
      <c r="BZ36" s="281"/>
      <c r="CA36" s="281"/>
      <c r="CB36" s="281"/>
      <c r="CC36" s="280"/>
      <c r="CD36" s="280" t="str">
        <f t="shared" si="31"/>
        <v>FOGARTY PC</v>
      </c>
      <c r="CE36" s="280">
        <v>32.700000000000003</v>
      </c>
      <c r="CF36" s="280">
        <f t="shared" si="47"/>
        <v>0.36890000104904175</v>
      </c>
      <c r="CG36" s="280"/>
      <c r="CH36" s="280" t="str">
        <f t="shared" si="32"/>
        <v>FOGARTY PC</v>
      </c>
      <c r="CI36" s="280">
        <v>32.700000000000003</v>
      </c>
      <c r="CJ36" s="284">
        <f t="shared" si="33"/>
        <v>0.35400000214576721</v>
      </c>
      <c r="CK36" s="280"/>
      <c r="CL36" s="280" t="str">
        <f t="shared" si="34"/>
        <v>FOGARTY PC</v>
      </c>
      <c r="CM36" s="280">
        <v>32.700000000000003</v>
      </c>
      <c r="CN36" s="284">
        <f t="shared" si="35"/>
        <v>0.36</v>
      </c>
    </row>
    <row r="37" spans="1:92" ht="15" customHeight="1" x14ac:dyDescent="0.25">
      <c r="A37" s="286" t="s">
        <v>105</v>
      </c>
      <c r="B37" s="286">
        <v>0.86699998378753662</v>
      </c>
      <c r="C37" s="287">
        <v>0.88969999551773071</v>
      </c>
      <c r="D37" s="287">
        <v>0.88040000200271606</v>
      </c>
      <c r="E37" s="287">
        <v>0.84600001573562622</v>
      </c>
      <c r="F37" s="287">
        <v>0.86489999294281006</v>
      </c>
      <c r="G37" s="287">
        <v>0.83099997043609619</v>
      </c>
      <c r="H37" s="287">
        <v>0.84939998388290405</v>
      </c>
      <c r="I37" s="287">
        <v>0.84320002794265747</v>
      </c>
      <c r="J37" s="287">
        <v>0.75599998235702515</v>
      </c>
      <c r="K37" s="287">
        <v>0.82770001888275146</v>
      </c>
      <c r="L37" s="287">
        <v>0.79500001668930054</v>
      </c>
      <c r="M37" s="288">
        <v>0.81529998779296875</v>
      </c>
      <c r="N37" s="289">
        <f t="shared" si="5"/>
        <v>10.065599977970123</v>
      </c>
      <c r="O37" s="265"/>
      <c r="P37" s="266"/>
      <c r="Q37" s="266"/>
      <c r="R37" s="272" t="str">
        <f t="shared" si="6"/>
        <v>HWA DEEP D24</v>
      </c>
      <c r="S37" s="290">
        <f t="shared" si="52"/>
        <v>1.47</v>
      </c>
      <c r="T37" s="291">
        <f t="shared" si="36"/>
        <v>0.86699998378753662</v>
      </c>
      <c r="U37" s="270"/>
      <c r="V37" s="272" t="str">
        <f t="shared" si="7"/>
        <v>HWA DEEP D24</v>
      </c>
      <c r="W37" s="290">
        <f t="shared" si="37"/>
        <v>1.1100000000000001</v>
      </c>
      <c r="X37" s="291">
        <f t="shared" si="8"/>
        <v>0.88969999551773071</v>
      </c>
      <c r="Y37" s="270"/>
      <c r="Z37" s="272" t="str">
        <f t="shared" si="9"/>
        <v>HWA DEEP D24</v>
      </c>
      <c r="AA37" s="290">
        <f t="shared" si="38"/>
        <v>1.86</v>
      </c>
      <c r="AB37" s="291">
        <f t="shared" si="10"/>
        <v>0.88040000200271606</v>
      </c>
      <c r="AC37" s="270"/>
      <c r="AD37" s="272" t="str">
        <f t="shared" si="11"/>
        <v>HWA DEEP D24</v>
      </c>
      <c r="AE37" s="290">
        <f t="shared" si="39"/>
        <v>4.4400000000000004</v>
      </c>
      <c r="AF37" s="291">
        <f t="shared" si="40"/>
        <v>2.6370999813079834</v>
      </c>
      <c r="AG37" s="271"/>
      <c r="AH37" s="271"/>
      <c r="AI37" s="271"/>
      <c r="AJ37" s="271"/>
      <c r="AK37" s="271"/>
      <c r="AL37" s="272" t="str">
        <f t="shared" si="14"/>
        <v>HWA DEEP D24</v>
      </c>
      <c r="AM37" s="273">
        <f t="shared" si="15"/>
        <v>1.1499999999999999</v>
      </c>
      <c r="AN37" s="273">
        <f t="shared" si="16"/>
        <v>0.84600001573562622</v>
      </c>
      <c r="AO37" s="274"/>
      <c r="AP37" s="275" t="str">
        <f t="shared" si="17"/>
        <v>HWA DEEP D24</v>
      </c>
      <c r="AQ37" s="275">
        <f t="shared" si="18"/>
        <v>0.93</v>
      </c>
      <c r="AR37" s="273">
        <f t="shared" si="19"/>
        <v>0.86489999294281006</v>
      </c>
      <c r="AS37" s="276"/>
      <c r="AT37" s="275" t="str">
        <f t="shared" si="20"/>
        <v>HWA DEEP D24</v>
      </c>
      <c r="AU37" s="273">
        <f t="shared" si="21"/>
        <v>0.83</v>
      </c>
      <c r="AV37" s="273">
        <f t="shared" si="22"/>
        <v>0.83099997043609619</v>
      </c>
      <c r="AW37" s="277"/>
      <c r="AX37" s="275" t="str">
        <f t="shared" si="23"/>
        <v>HWA DEEP D24</v>
      </c>
      <c r="AY37" s="273">
        <f t="shared" si="48"/>
        <v>2.91</v>
      </c>
      <c r="AZ37" s="273">
        <f t="shared" si="49"/>
        <v>2.5418999791145325</v>
      </c>
      <c r="BA37" s="270"/>
      <c r="BB37" s="270"/>
      <c r="BC37" s="270"/>
      <c r="BD37" s="270"/>
      <c r="BE37" s="270"/>
      <c r="BF37" s="280"/>
      <c r="BG37" s="272" t="str">
        <f t="shared" si="26"/>
        <v>HWA DEEP D24</v>
      </c>
      <c r="BH37" s="290">
        <f t="shared" si="27"/>
        <v>0.69</v>
      </c>
      <c r="BI37" s="291">
        <f t="shared" si="41"/>
        <v>0.84939998388290405</v>
      </c>
      <c r="BJ37" s="280"/>
      <c r="BK37" s="272" t="str">
        <f t="shared" si="28"/>
        <v>HWA DEEP D24</v>
      </c>
      <c r="BL37" s="290">
        <f t="shared" si="42"/>
        <v>0.87</v>
      </c>
      <c r="BM37" s="290">
        <f t="shared" si="43"/>
        <v>0.84320002794265747</v>
      </c>
      <c r="BN37" s="281"/>
      <c r="BO37" s="292" t="str">
        <f t="shared" si="44"/>
        <v>HWA DEEP D24</v>
      </c>
      <c r="BP37" s="290">
        <f t="shared" si="45"/>
        <v>0.73</v>
      </c>
      <c r="BQ37" s="291">
        <f t="shared" si="4"/>
        <v>0.75599998235702515</v>
      </c>
      <c r="BR37" s="280"/>
      <c r="BS37" s="293" t="str">
        <f t="shared" si="46"/>
        <v>HWA DEEP D24</v>
      </c>
      <c r="BT37" s="290">
        <f t="shared" si="50"/>
        <v>2.29</v>
      </c>
      <c r="BU37" s="291">
        <f t="shared" si="51"/>
        <v>2.4485999941825867</v>
      </c>
      <c r="BV37" s="281"/>
      <c r="BW37" s="281"/>
      <c r="BX37" s="281"/>
      <c r="BY37" s="281"/>
      <c r="BZ37" s="281"/>
      <c r="CA37" s="281"/>
      <c r="CB37" s="281"/>
      <c r="CC37" s="280"/>
      <c r="CD37" s="280" t="str">
        <f t="shared" si="31"/>
        <v>HWA DEEP D24</v>
      </c>
      <c r="CE37" s="280">
        <v>33.700000000000003</v>
      </c>
      <c r="CF37" s="280">
        <f t="shared" si="47"/>
        <v>0.82770001888275146</v>
      </c>
      <c r="CG37" s="280"/>
      <c r="CH37" s="280" t="str">
        <f t="shared" si="32"/>
        <v>HWA DEEP D24</v>
      </c>
      <c r="CI37" s="280">
        <v>33.700000000000003</v>
      </c>
      <c r="CJ37" s="284">
        <f t="shared" si="33"/>
        <v>0.79500001668930054</v>
      </c>
      <c r="CK37" s="280"/>
      <c r="CL37" s="280" t="str">
        <f t="shared" si="34"/>
        <v>HWA DEEP D24</v>
      </c>
      <c r="CM37" s="280">
        <v>33.700000000000003</v>
      </c>
      <c r="CN37" s="284">
        <f t="shared" si="35"/>
        <v>0.81529998779296875</v>
      </c>
    </row>
    <row r="38" spans="1:92" ht="15" customHeight="1" x14ac:dyDescent="0.25">
      <c r="A38" s="286" t="s">
        <v>106</v>
      </c>
      <c r="B38" s="286">
        <v>2.937000036239624</v>
      </c>
      <c r="C38" s="287">
        <v>3.0225000381469727</v>
      </c>
      <c r="D38" s="287">
        <v>3.0069999694824219</v>
      </c>
      <c r="E38" s="287">
        <v>2.8980000019073486</v>
      </c>
      <c r="F38" s="287">
        <v>2.9821999073028564</v>
      </c>
      <c r="G38" s="287">
        <v>2.874000072479248</v>
      </c>
      <c r="H38" s="287">
        <v>2.9574000835418701</v>
      </c>
      <c r="I38" s="287">
        <v>2.9449999332427979</v>
      </c>
      <c r="J38" s="287">
        <v>2.6487998962402344</v>
      </c>
      <c r="K38" s="287">
        <v>2.9202001094818115</v>
      </c>
      <c r="L38" s="287">
        <v>2.8139998912811279</v>
      </c>
      <c r="M38" s="288">
        <v>2.8954000473022461</v>
      </c>
      <c r="N38" s="289">
        <f t="shared" si="5"/>
        <v>34.90149998664856</v>
      </c>
      <c r="O38" s="265"/>
      <c r="P38" s="266"/>
      <c r="Q38" s="266"/>
      <c r="R38" s="272" t="str">
        <f t="shared" si="6"/>
        <v>HWA DEEP PC</v>
      </c>
      <c r="S38" s="290">
        <f t="shared" si="52"/>
        <v>1.67</v>
      </c>
      <c r="T38" s="291">
        <f t="shared" si="36"/>
        <v>2.937000036239624</v>
      </c>
      <c r="U38" s="270"/>
      <c r="V38" s="272" t="str">
        <f t="shared" si="7"/>
        <v>HWA DEEP PC</v>
      </c>
      <c r="W38" s="290">
        <f t="shared" si="37"/>
        <v>1.72</v>
      </c>
      <c r="X38" s="291">
        <f t="shared" si="8"/>
        <v>3.0225000381469727</v>
      </c>
      <c r="Y38" s="270"/>
      <c r="Z38" s="272" t="str">
        <f t="shared" si="9"/>
        <v>HWA DEEP PC</v>
      </c>
      <c r="AA38" s="290">
        <f t="shared" si="38"/>
        <v>1.75</v>
      </c>
      <c r="AB38" s="291">
        <f t="shared" si="10"/>
        <v>3.0069999694824219</v>
      </c>
      <c r="AC38" s="270"/>
      <c r="AD38" s="272" t="str">
        <f t="shared" si="11"/>
        <v>HWA DEEP PC</v>
      </c>
      <c r="AE38" s="290">
        <f t="shared" si="39"/>
        <v>5.14</v>
      </c>
      <c r="AF38" s="291">
        <f t="shared" si="40"/>
        <v>8.9665000438690186</v>
      </c>
      <c r="AG38" s="271"/>
      <c r="AH38" s="271"/>
      <c r="AI38" s="271"/>
      <c r="AJ38" s="271"/>
      <c r="AK38" s="271"/>
      <c r="AL38" s="272" t="str">
        <f t="shared" si="14"/>
        <v>HWA DEEP PC</v>
      </c>
      <c r="AM38" s="273">
        <f t="shared" si="15"/>
        <v>1.31</v>
      </c>
      <c r="AN38" s="273">
        <f t="shared" si="16"/>
        <v>2.8980000019073486</v>
      </c>
      <c r="AO38" s="274"/>
      <c r="AP38" s="275" t="str">
        <f t="shared" si="17"/>
        <v>HWA DEEP PC</v>
      </c>
      <c r="AQ38" s="275">
        <f t="shared" si="18"/>
        <v>1.32</v>
      </c>
      <c r="AR38" s="273">
        <f t="shared" si="19"/>
        <v>2.9821999073028564</v>
      </c>
      <c r="AS38" s="276"/>
      <c r="AT38" s="275" t="str">
        <f t="shared" si="20"/>
        <v>HWA DEEP PC</v>
      </c>
      <c r="AU38" s="273">
        <f t="shared" si="21"/>
        <v>1.1399999999999999</v>
      </c>
      <c r="AV38" s="273">
        <f t="shared" si="22"/>
        <v>2.874000072479248</v>
      </c>
      <c r="AW38" s="277"/>
      <c r="AX38" s="275" t="str">
        <f t="shared" si="23"/>
        <v>HWA DEEP PC</v>
      </c>
      <c r="AY38" s="273">
        <f t="shared" si="48"/>
        <v>3.7699999999999996</v>
      </c>
      <c r="AZ38" s="273">
        <f t="shared" si="49"/>
        <v>8.7541999816894531</v>
      </c>
      <c r="BA38" s="270"/>
      <c r="BB38" s="270"/>
      <c r="BC38" s="270"/>
      <c r="BD38" s="270"/>
      <c r="BE38" s="270"/>
      <c r="BF38" s="280"/>
      <c r="BG38" s="272" t="str">
        <f t="shared" si="26"/>
        <v>HWA DEEP PC</v>
      </c>
      <c r="BH38" s="290">
        <f t="shared" si="27"/>
        <v>1.96</v>
      </c>
      <c r="BI38" s="291">
        <f t="shared" si="41"/>
        <v>2.9574000835418701</v>
      </c>
      <c r="BJ38" s="280"/>
      <c r="BK38" s="272" t="str">
        <f t="shared" si="28"/>
        <v>HWA DEEP PC</v>
      </c>
      <c r="BL38" s="290">
        <f t="shared" si="42"/>
        <v>1.28</v>
      </c>
      <c r="BM38" s="290">
        <f t="shared" si="43"/>
        <v>2.9449999332427979</v>
      </c>
      <c r="BN38" s="281"/>
      <c r="BO38" s="292" t="str">
        <f t="shared" si="44"/>
        <v>HWA DEEP PC</v>
      </c>
      <c r="BP38" s="290">
        <f t="shared" si="45"/>
        <v>0.59</v>
      </c>
      <c r="BQ38" s="291">
        <f t="shared" ref="BQ38:BQ69" si="53">IFERROR(VLOOKUP($BO38,$A$6:$M$105,10,FALSE),0)</f>
        <v>2.6487998962402344</v>
      </c>
      <c r="BR38" s="280"/>
      <c r="BS38" s="293" t="str">
        <f t="shared" si="46"/>
        <v>HWA DEEP PC</v>
      </c>
      <c r="BT38" s="290">
        <f t="shared" ref="BT38:BT83" si="54">SUM(BH38,BL38,BP38)</f>
        <v>3.83</v>
      </c>
      <c r="BU38" s="291">
        <f t="shared" ref="BU38:BU83" si="55">SUM(BI38,BM38,BQ38)</f>
        <v>8.5511999130249023</v>
      </c>
      <c r="BV38" s="281"/>
      <c r="BW38" s="281"/>
      <c r="BX38" s="281"/>
      <c r="BY38" s="281"/>
      <c r="BZ38" s="281"/>
      <c r="CA38" s="281"/>
      <c r="CB38" s="281"/>
      <c r="CC38" s="280"/>
      <c r="CD38" s="280" t="str">
        <f t="shared" si="31"/>
        <v>HWA DEEP PC</v>
      </c>
      <c r="CE38" s="280">
        <v>34.700000000000003</v>
      </c>
      <c r="CF38" s="280">
        <f t="shared" si="47"/>
        <v>2.9202001094818115</v>
      </c>
      <c r="CG38" s="280"/>
      <c r="CH38" s="280" t="str">
        <f t="shared" si="32"/>
        <v>HWA DEEP PC</v>
      </c>
      <c r="CI38" s="280">
        <v>34.700000000000003</v>
      </c>
      <c r="CJ38" s="284">
        <f t="shared" si="33"/>
        <v>2.8139998912811279</v>
      </c>
      <c r="CK38" s="280"/>
      <c r="CL38" s="280" t="str">
        <f t="shared" si="34"/>
        <v>HWA DEEP PC</v>
      </c>
      <c r="CM38" s="280">
        <v>34.700000000000003</v>
      </c>
      <c r="CN38" s="284">
        <f t="shared" si="35"/>
        <v>2.8954000473022461</v>
      </c>
    </row>
    <row r="39" spans="1:92" ht="15" customHeight="1" x14ac:dyDescent="0.25">
      <c r="A39" s="286" t="s">
        <v>195</v>
      </c>
      <c r="B39" s="286">
        <v>16.931999206542969</v>
      </c>
      <c r="C39" s="287">
        <v>17.322799682617188</v>
      </c>
      <c r="D39" s="287">
        <v>17.155399322509766</v>
      </c>
      <c r="E39" s="287">
        <v>16.440000534057617</v>
      </c>
      <c r="F39" s="287">
        <v>16.826799392700195</v>
      </c>
      <c r="G39" s="287">
        <v>16.131000518798828</v>
      </c>
      <c r="H39" s="287">
        <v>16.513700485229492</v>
      </c>
      <c r="I39" s="287">
        <v>16.364900588989258</v>
      </c>
      <c r="J39" s="287">
        <v>14.64680004119873</v>
      </c>
      <c r="K39" s="287">
        <v>16.07349967956543</v>
      </c>
      <c r="L39" s="287">
        <v>15.420000076293945</v>
      </c>
      <c r="M39" s="288">
        <v>15.794500350952148</v>
      </c>
      <c r="N39" s="289">
        <f t="shared" si="5"/>
        <v>195.62139987945557</v>
      </c>
      <c r="O39" s="265"/>
      <c r="P39" s="295"/>
      <c r="Q39" s="266"/>
      <c r="R39" s="272" t="str">
        <f t="shared" si="6"/>
        <v>HWADEEPMTD24</v>
      </c>
      <c r="S39" s="290">
        <f t="shared" si="52"/>
        <v>10.56</v>
      </c>
      <c r="T39" s="291">
        <f t="shared" si="36"/>
        <v>16.931999206542969</v>
      </c>
      <c r="U39" s="270"/>
      <c r="V39" s="272" t="str">
        <f t="shared" si="7"/>
        <v>HWADEEPMTD24</v>
      </c>
      <c r="W39" s="290">
        <f t="shared" si="37"/>
        <v>11.47</v>
      </c>
      <c r="X39" s="291">
        <f t="shared" si="8"/>
        <v>17.322799682617188</v>
      </c>
      <c r="Y39" s="270"/>
      <c r="Z39" s="272" t="str">
        <f t="shared" si="9"/>
        <v>HWADEEPMTD24</v>
      </c>
      <c r="AA39" s="290">
        <f t="shared" si="38"/>
        <v>9.93</v>
      </c>
      <c r="AB39" s="291">
        <f t="shared" si="10"/>
        <v>17.155399322509766</v>
      </c>
      <c r="AC39" s="270"/>
      <c r="AD39" s="272" t="str">
        <f t="shared" si="11"/>
        <v>HWADEEPMTD24</v>
      </c>
      <c r="AE39" s="290">
        <f t="shared" si="39"/>
        <v>31.96</v>
      </c>
      <c r="AF39" s="291">
        <f t="shared" si="40"/>
        <v>51.410198211669922</v>
      </c>
      <c r="AG39" s="271"/>
      <c r="AH39" s="271"/>
      <c r="AI39" s="271"/>
      <c r="AJ39" s="271"/>
      <c r="AK39" s="271"/>
      <c r="AL39" s="272" t="str">
        <f t="shared" si="14"/>
        <v>HWADEEPMTD24</v>
      </c>
      <c r="AM39" s="273">
        <f t="shared" si="15"/>
        <v>9.57</v>
      </c>
      <c r="AN39" s="273">
        <f t="shared" si="16"/>
        <v>16.440000534057617</v>
      </c>
      <c r="AO39" s="274"/>
      <c r="AP39" s="275" t="str">
        <f>AL39</f>
        <v>HWADEEPMTD24</v>
      </c>
      <c r="AQ39" s="275">
        <f t="shared" si="18"/>
        <v>19.53</v>
      </c>
      <c r="AR39" s="273">
        <f t="shared" si="19"/>
        <v>16.826799392700195</v>
      </c>
      <c r="AS39" s="276"/>
      <c r="AT39" s="275" t="str">
        <f t="shared" si="20"/>
        <v>HWADEEPMTD24</v>
      </c>
      <c r="AU39" s="273">
        <f t="shared" si="21"/>
        <v>18.8</v>
      </c>
      <c r="AV39" s="273">
        <f t="shared" si="22"/>
        <v>16.131000518798828</v>
      </c>
      <c r="AW39" s="277"/>
      <c r="AX39" s="275" t="str">
        <f t="shared" si="23"/>
        <v>HWADEEPMTD24</v>
      </c>
      <c r="AY39" s="273">
        <f t="shared" si="48"/>
        <v>47.900000000000006</v>
      </c>
      <c r="AZ39" s="273">
        <f t="shared" si="49"/>
        <v>49.397800445556641</v>
      </c>
      <c r="BA39" s="270"/>
      <c r="BB39" s="270"/>
      <c r="BC39" s="270"/>
      <c r="BD39" s="270"/>
      <c r="BE39" s="270"/>
      <c r="BF39" s="280"/>
      <c r="BG39" s="272" t="str">
        <f t="shared" si="26"/>
        <v>HWADEEPMTD24</v>
      </c>
      <c r="BH39" s="290">
        <f t="shared" si="27"/>
        <v>14.27</v>
      </c>
      <c r="BI39" s="291">
        <f t="shared" si="41"/>
        <v>16.513700485229492</v>
      </c>
      <c r="BJ39" s="280"/>
      <c r="BK39" s="272" t="str">
        <f t="shared" si="28"/>
        <v>HWADEEPMTD24</v>
      </c>
      <c r="BL39" s="290">
        <f t="shared" si="42"/>
        <v>17.850000000000001</v>
      </c>
      <c r="BM39" s="290">
        <f t="shared" si="43"/>
        <v>16.364900588989258</v>
      </c>
      <c r="BN39" s="281"/>
      <c r="BO39" s="292" t="str">
        <f t="shared" si="44"/>
        <v>HWADEEPMTD24</v>
      </c>
      <c r="BP39" s="290">
        <f t="shared" si="45"/>
        <v>15.99</v>
      </c>
      <c r="BQ39" s="291">
        <f t="shared" si="53"/>
        <v>14.64680004119873</v>
      </c>
      <c r="BR39" s="280"/>
      <c r="BS39" s="293" t="str">
        <f t="shared" si="46"/>
        <v>HWADEEPMTD24</v>
      </c>
      <c r="BT39" s="290">
        <f t="shared" si="54"/>
        <v>48.110000000000007</v>
      </c>
      <c r="BU39" s="291">
        <f t="shared" si="55"/>
        <v>47.52540111541748</v>
      </c>
      <c r="BV39" s="281"/>
      <c r="BW39" s="281"/>
      <c r="BX39" s="281"/>
      <c r="BY39" s="281"/>
      <c r="BZ39" s="281"/>
      <c r="CA39" s="281"/>
      <c r="CB39" s="281"/>
      <c r="CC39" s="280"/>
      <c r="CD39" s="280" t="str">
        <f t="shared" si="31"/>
        <v>HWADEEPMTD24</v>
      </c>
      <c r="CE39" s="280">
        <v>35.700000000000003</v>
      </c>
      <c r="CF39" s="280">
        <f t="shared" si="47"/>
        <v>16.07349967956543</v>
      </c>
      <c r="CG39" s="280"/>
      <c r="CH39" s="280" t="str">
        <f t="shared" si="32"/>
        <v>HWADEEPMTD24</v>
      </c>
      <c r="CI39" s="280">
        <v>35.700000000000003</v>
      </c>
      <c r="CJ39" s="284">
        <f t="shared" si="33"/>
        <v>15.420000076293945</v>
      </c>
      <c r="CK39" s="280"/>
      <c r="CL39" s="280" t="str">
        <f t="shared" si="34"/>
        <v>HWADEEPMTD24</v>
      </c>
      <c r="CM39" s="280">
        <v>35.700000000000003</v>
      </c>
      <c r="CN39" s="284">
        <f t="shared" si="35"/>
        <v>15.794500350952148</v>
      </c>
    </row>
    <row r="40" spans="1:92" ht="15" customHeight="1" x14ac:dyDescent="0.25">
      <c r="A40" s="286" t="s">
        <v>157</v>
      </c>
      <c r="B40" s="286">
        <v>8.741999626159668</v>
      </c>
      <c r="C40" s="287">
        <v>8.9961996078491211</v>
      </c>
      <c r="D40" s="287">
        <v>8.9559001922607422</v>
      </c>
      <c r="E40" s="287">
        <v>8.6280002593994141</v>
      </c>
      <c r="F40" s="287">
        <v>8.875300407409668</v>
      </c>
      <c r="G40" s="287">
        <v>8.5530004501342773</v>
      </c>
      <c r="H40" s="287">
        <v>8.7978000640869141</v>
      </c>
      <c r="I40" s="287">
        <v>8.7606000900268555</v>
      </c>
      <c r="J40" s="287">
        <v>7.8763999938964844</v>
      </c>
      <c r="K40" s="287">
        <v>8.6830997467041016</v>
      </c>
      <c r="L40" s="287">
        <v>8.366999626159668</v>
      </c>
      <c r="M40" s="288">
        <v>8.6056003570556641</v>
      </c>
      <c r="N40" s="289">
        <f t="shared" si="5"/>
        <v>103.84090042114258</v>
      </c>
      <c r="O40" s="265"/>
      <c r="P40" s="266"/>
      <c r="Q40" s="266"/>
      <c r="R40" s="272" t="str">
        <f t="shared" si="6"/>
        <v>HWPL1&amp;3MTD24</v>
      </c>
      <c r="S40" s="290">
        <f t="shared" si="52"/>
        <v>10.71</v>
      </c>
      <c r="T40" s="291">
        <f t="shared" si="36"/>
        <v>8.741999626159668</v>
      </c>
      <c r="U40" s="270"/>
      <c r="V40" s="272" t="str">
        <f t="shared" si="7"/>
        <v>HWPL1&amp;3MTD24</v>
      </c>
      <c r="W40" s="290">
        <f t="shared" si="37"/>
        <v>10.97</v>
      </c>
      <c r="X40" s="291">
        <f t="shared" si="8"/>
        <v>8.9961996078491211</v>
      </c>
      <c r="Y40" s="270"/>
      <c r="Z40" s="272" t="str">
        <f t="shared" si="9"/>
        <v>HWPL1&amp;3MTD24</v>
      </c>
      <c r="AA40" s="290">
        <f>VLOOKUP(Z40,$Z$118:$AA$209,2,FALSE)</f>
        <v>10.76</v>
      </c>
      <c r="AB40" s="291">
        <f t="shared" si="10"/>
        <v>8.9559001922607422</v>
      </c>
      <c r="AC40" s="270"/>
      <c r="AD40" s="272" t="str">
        <f t="shared" si="11"/>
        <v>HWPL1&amp;3MTD24</v>
      </c>
      <c r="AE40" s="290">
        <f t="shared" ref="AE40:AE87" si="56">SUM(S40,W40,AA40)</f>
        <v>32.44</v>
      </c>
      <c r="AF40" s="291">
        <f t="shared" ref="AF40:AF87" si="57">SUM(T40,X40,AB40)</f>
        <v>26.694099426269531</v>
      </c>
      <c r="AG40" s="271"/>
      <c r="AH40" s="271"/>
      <c r="AI40" s="271"/>
      <c r="AJ40" s="271"/>
      <c r="AK40" s="271"/>
      <c r="AL40" s="272" t="str">
        <f t="shared" si="14"/>
        <v>HWPL1&amp;3MTD24</v>
      </c>
      <c r="AM40" s="273">
        <f t="shared" si="15"/>
        <v>10.52</v>
      </c>
      <c r="AN40" s="273">
        <f t="shared" si="16"/>
        <v>8.6280002593994141</v>
      </c>
      <c r="AO40" s="274"/>
      <c r="AP40" s="275" t="str">
        <f t="shared" si="17"/>
        <v>HWPL1&amp;3MTD24</v>
      </c>
      <c r="AQ40" s="275">
        <f t="shared" si="18"/>
        <v>10.46</v>
      </c>
      <c r="AR40" s="273">
        <f t="shared" si="19"/>
        <v>8.875300407409668</v>
      </c>
      <c r="AS40" s="276"/>
      <c r="AT40" s="275" t="str">
        <f t="shared" si="20"/>
        <v>HWPL1&amp;3MTD24</v>
      </c>
      <c r="AU40" s="273">
        <f t="shared" si="21"/>
        <v>10.1</v>
      </c>
      <c r="AV40" s="273">
        <f t="shared" si="22"/>
        <v>8.5530004501342773</v>
      </c>
      <c r="AW40" s="277"/>
      <c r="AX40" s="275" t="str">
        <f t="shared" si="23"/>
        <v>HWPL1&amp;3MTD24</v>
      </c>
      <c r="AY40" s="273">
        <f t="shared" si="48"/>
        <v>31.08</v>
      </c>
      <c r="AZ40" s="273">
        <f t="shared" si="49"/>
        <v>26.056301116943359</v>
      </c>
      <c r="BA40" s="270"/>
      <c r="BB40" s="270"/>
      <c r="BC40" s="270"/>
      <c r="BD40" s="270"/>
      <c r="BE40" s="270"/>
      <c r="BF40" s="280"/>
      <c r="BG40" s="272" t="str">
        <f t="shared" si="26"/>
        <v>HWPL1&amp;3MTD24</v>
      </c>
      <c r="BH40" s="290">
        <f t="shared" si="27"/>
        <v>10.25</v>
      </c>
      <c r="BI40" s="291">
        <f t="shared" si="41"/>
        <v>8.7978000640869141</v>
      </c>
      <c r="BJ40" s="280"/>
      <c r="BK40" s="272" t="str">
        <f t="shared" si="28"/>
        <v>HWPL1&amp;3MTD24</v>
      </c>
      <c r="BL40" s="290">
        <f t="shared" si="42"/>
        <v>10.18</v>
      </c>
      <c r="BM40" s="290">
        <f t="shared" si="43"/>
        <v>8.7606000900268555</v>
      </c>
      <c r="BN40" s="281"/>
      <c r="BO40" s="292" t="str">
        <f t="shared" si="44"/>
        <v>HWPL1&amp;3MTD24</v>
      </c>
      <c r="BP40" s="290">
        <f>IFERROR(VLOOKUP($BO40,$BO$111:$BP$195,2,FALSE),0)</f>
        <v>8.31</v>
      </c>
      <c r="BQ40" s="291">
        <f t="shared" si="53"/>
        <v>7.8763999938964844</v>
      </c>
      <c r="BR40" s="280"/>
      <c r="BS40" s="293" t="str">
        <f t="shared" si="46"/>
        <v>HWPL1&amp;3MTD24</v>
      </c>
      <c r="BT40" s="290">
        <f t="shared" si="54"/>
        <v>28.740000000000002</v>
      </c>
      <c r="BU40" s="291">
        <f t="shared" si="55"/>
        <v>25.434800148010254</v>
      </c>
      <c r="BV40" s="281"/>
      <c r="BW40" s="281"/>
      <c r="BX40" s="281"/>
      <c r="BY40" s="281"/>
      <c r="BZ40" s="281"/>
      <c r="CA40" s="281"/>
      <c r="CB40" s="281"/>
      <c r="CC40" s="280"/>
      <c r="CD40" s="280" t="str">
        <f t="shared" si="31"/>
        <v>HWPL1&amp;3MTD24</v>
      </c>
      <c r="CE40" s="280">
        <v>36.700000000000003</v>
      </c>
      <c r="CF40" s="280">
        <f t="shared" si="47"/>
        <v>8.6830997467041016</v>
      </c>
      <c r="CG40" s="280"/>
      <c r="CH40" s="280" t="str">
        <f t="shared" si="32"/>
        <v>HWPL1&amp;3MTD24</v>
      </c>
      <c r="CI40" s="280">
        <v>36.700000000000003</v>
      </c>
      <c r="CJ40" s="284">
        <f t="shared" si="33"/>
        <v>8.366999626159668</v>
      </c>
      <c r="CK40" s="280"/>
      <c r="CL40" s="280" t="str">
        <f t="shared" si="34"/>
        <v>HWPL1&amp;3MTD24</v>
      </c>
      <c r="CM40" s="280">
        <v>36.700000000000003</v>
      </c>
      <c r="CN40" s="284">
        <f t="shared" si="35"/>
        <v>8.6056003570556641</v>
      </c>
    </row>
    <row r="41" spans="1:92" ht="15" customHeight="1" x14ac:dyDescent="0.25">
      <c r="A41" s="286" t="s">
        <v>196</v>
      </c>
      <c r="B41" s="286">
        <v>7.5927000045776367</v>
      </c>
      <c r="C41" s="287">
        <v>7.7933998107910156</v>
      </c>
      <c r="D41" s="287">
        <v>7.7283000946044922</v>
      </c>
      <c r="E41" s="287">
        <v>7.4159998893737793</v>
      </c>
      <c r="F41" s="287">
        <v>7.5981001853942871</v>
      </c>
      <c r="G41" s="287">
        <v>7.2899999618530273</v>
      </c>
      <c r="H41" s="287">
        <v>7.4710001945495605</v>
      </c>
      <c r="I41" s="287">
        <v>7.4089999198913574</v>
      </c>
      <c r="J41" s="287">
        <v>6.6360001564025879</v>
      </c>
      <c r="K41" s="287">
        <v>7.2818999290466309</v>
      </c>
      <c r="L41" s="287">
        <v>6.9899997711181641</v>
      </c>
      <c r="M41" s="288">
        <v>7.1609997749328613</v>
      </c>
      <c r="N41" s="289">
        <f t="shared" si="5"/>
        <v>88.3673996925354</v>
      </c>
      <c r="O41" s="265"/>
      <c r="P41" s="266"/>
      <c r="Q41" s="266"/>
      <c r="R41" s="272" t="str">
        <f t="shared" si="6"/>
        <v>HWPL1&amp;3MTPC</v>
      </c>
      <c r="S41" s="290">
        <f t="shared" si="52"/>
        <v>8.48</v>
      </c>
      <c r="T41" s="291">
        <f t="shared" si="36"/>
        <v>7.5927000045776367</v>
      </c>
      <c r="U41" s="270"/>
      <c r="V41" s="272" t="str">
        <f t="shared" si="7"/>
        <v>HWPL1&amp;3MTPC</v>
      </c>
      <c r="W41" s="290">
        <f t="shared" si="37"/>
        <v>9.3699999999999992</v>
      </c>
      <c r="X41" s="291">
        <f t="shared" si="8"/>
        <v>7.7933998107910156</v>
      </c>
      <c r="Y41" s="270"/>
      <c r="Z41" s="272" t="str">
        <f t="shared" si="9"/>
        <v>HWPL1&amp;3MTPC</v>
      </c>
      <c r="AA41" s="290">
        <f t="shared" si="38"/>
        <v>10.87</v>
      </c>
      <c r="AB41" s="291">
        <f t="shared" si="10"/>
        <v>7.7283000946044922</v>
      </c>
      <c r="AC41" s="270"/>
      <c r="AD41" s="272" t="str">
        <f t="shared" si="11"/>
        <v>HWPL1&amp;3MTPC</v>
      </c>
      <c r="AE41" s="290">
        <f t="shared" si="56"/>
        <v>28.72</v>
      </c>
      <c r="AF41" s="291">
        <f t="shared" si="57"/>
        <v>23.114399909973145</v>
      </c>
      <c r="AG41" s="271"/>
      <c r="AH41" s="271"/>
      <c r="AI41" s="271"/>
      <c r="AJ41" s="271"/>
      <c r="AK41" s="271"/>
      <c r="AL41" s="272" t="str">
        <f t="shared" si="14"/>
        <v>HWPL1&amp;3MTPC</v>
      </c>
      <c r="AM41" s="273">
        <f t="shared" si="15"/>
        <v>7.09</v>
      </c>
      <c r="AN41" s="273">
        <f t="shared" si="16"/>
        <v>7.4159998893737793</v>
      </c>
      <c r="AO41" s="274"/>
      <c r="AP41" s="275" t="str">
        <f t="shared" si="17"/>
        <v>HWPL1&amp;3MTPC</v>
      </c>
      <c r="AQ41" s="275">
        <f t="shared" si="18"/>
        <v>8.52</v>
      </c>
      <c r="AR41" s="273">
        <f t="shared" si="19"/>
        <v>7.5981001853942871</v>
      </c>
      <c r="AS41" s="276"/>
      <c r="AT41" s="275" t="str">
        <f t="shared" si="20"/>
        <v>HWPL1&amp;3MTPC</v>
      </c>
      <c r="AU41" s="273">
        <f t="shared" si="21"/>
        <v>9.5399999999999991</v>
      </c>
      <c r="AV41" s="273">
        <f t="shared" si="22"/>
        <v>7.2899999618530273</v>
      </c>
      <c r="AW41" s="277"/>
      <c r="AX41" s="275" t="str">
        <f t="shared" si="23"/>
        <v>HWPL1&amp;3MTPC</v>
      </c>
      <c r="AY41" s="273">
        <f t="shared" si="48"/>
        <v>25.15</v>
      </c>
      <c r="AZ41" s="273">
        <f t="shared" si="49"/>
        <v>22.304100036621094</v>
      </c>
      <c r="BA41" s="270"/>
      <c r="BB41" s="270"/>
      <c r="BC41" s="270"/>
      <c r="BD41" s="270"/>
      <c r="BE41" s="270"/>
      <c r="BF41" s="280"/>
      <c r="BG41" s="272" t="str">
        <f t="shared" si="26"/>
        <v>HWPL1&amp;3MTPC</v>
      </c>
      <c r="BH41" s="290">
        <f t="shared" si="27"/>
        <v>8.59</v>
      </c>
      <c r="BI41" s="291">
        <f t="shared" si="41"/>
        <v>7.4710001945495605</v>
      </c>
      <c r="BJ41" s="280"/>
      <c r="BK41" s="272" t="str">
        <f t="shared" si="28"/>
        <v>HWPL1&amp;3MTPC</v>
      </c>
      <c r="BL41" s="290">
        <f t="shared" si="42"/>
        <v>8.86</v>
      </c>
      <c r="BM41" s="290">
        <f t="shared" si="43"/>
        <v>7.4089999198913574</v>
      </c>
      <c r="BN41" s="281"/>
      <c r="BO41" s="292" t="str">
        <f t="shared" si="44"/>
        <v>HWPL1&amp;3MTPC</v>
      </c>
      <c r="BP41" s="290">
        <f t="shared" si="45"/>
        <v>6.92</v>
      </c>
      <c r="BQ41" s="291">
        <f t="shared" si="53"/>
        <v>6.6360001564025879</v>
      </c>
      <c r="BR41" s="280"/>
      <c r="BS41" s="293" t="str">
        <f t="shared" si="46"/>
        <v>HWPL1&amp;3MTPC</v>
      </c>
      <c r="BT41" s="290">
        <f t="shared" si="54"/>
        <v>24.369999999999997</v>
      </c>
      <c r="BU41" s="291">
        <f t="shared" si="55"/>
        <v>21.516000270843506</v>
      </c>
      <c r="BV41" s="281"/>
      <c r="BW41" s="281"/>
      <c r="BX41" s="281"/>
      <c r="BY41" s="281"/>
      <c r="BZ41" s="281"/>
      <c r="CA41" s="281"/>
      <c r="CB41" s="281"/>
      <c r="CC41" s="280"/>
      <c r="CD41" s="280" t="str">
        <f t="shared" si="31"/>
        <v>HWPL1&amp;3MTPC</v>
      </c>
      <c r="CE41" s="280">
        <v>37.700000000000003</v>
      </c>
      <c r="CF41" s="280">
        <f t="shared" si="47"/>
        <v>7.2818999290466309</v>
      </c>
      <c r="CG41" s="280"/>
      <c r="CH41" s="280" t="str">
        <f t="shared" si="32"/>
        <v>HWPL1&amp;3MTPC</v>
      </c>
      <c r="CI41" s="280">
        <v>37.700000000000003</v>
      </c>
      <c r="CJ41" s="284">
        <f t="shared" si="33"/>
        <v>6.9899997711181641</v>
      </c>
      <c r="CK41" s="280"/>
      <c r="CL41" s="280" t="str">
        <f t="shared" si="34"/>
        <v>HWPL1&amp;3MTPC</v>
      </c>
      <c r="CM41" s="280">
        <v>37.700000000000003</v>
      </c>
      <c r="CN41" s="284">
        <f t="shared" si="35"/>
        <v>7.1609997749328613</v>
      </c>
    </row>
    <row r="42" spans="1:92" ht="15" customHeight="1" x14ac:dyDescent="0.25">
      <c r="A42" s="286" t="s">
        <v>107</v>
      </c>
      <c r="B42" s="286">
        <v>81.927001953125</v>
      </c>
      <c r="C42" s="287">
        <v>83.833297729492188</v>
      </c>
      <c r="D42" s="287">
        <v>83.011802673339844</v>
      </c>
      <c r="E42" s="287">
        <v>79.551002502441406</v>
      </c>
      <c r="F42" s="287">
        <v>81.405998229980469</v>
      </c>
      <c r="G42" s="287">
        <v>78.014999389648438</v>
      </c>
      <c r="H42" s="287">
        <v>79.834297180175781</v>
      </c>
      <c r="I42" s="287">
        <v>79.065498352050781</v>
      </c>
      <c r="J42" s="287">
        <v>70.725196838378906</v>
      </c>
      <c r="K42" s="287">
        <v>77.552696228027344</v>
      </c>
      <c r="L42" s="287">
        <v>74.331001281738281</v>
      </c>
      <c r="M42" s="288">
        <v>76.073997497558594</v>
      </c>
      <c r="N42" s="289">
        <f t="shared" si="5"/>
        <v>945.32678985595703</v>
      </c>
      <c r="O42" s="265"/>
      <c r="P42" s="266"/>
      <c r="Q42" s="266"/>
      <c r="R42" s="272" t="str">
        <f t="shared" si="6"/>
        <v>HWPLT1&amp;3 D24</v>
      </c>
      <c r="S42" s="290">
        <f t="shared" si="52"/>
        <v>102.59</v>
      </c>
      <c r="T42" s="291">
        <f t="shared" si="36"/>
        <v>81.927001953125</v>
      </c>
      <c r="U42" s="270"/>
      <c r="V42" s="272" t="str">
        <f t="shared" si="7"/>
        <v>HWPLT1&amp;3 D24</v>
      </c>
      <c r="W42" s="290">
        <f t="shared" si="37"/>
        <v>105.47</v>
      </c>
      <c r="X42" s="291">
        <f t="shared" si="8"/>
        <v>83.833297729492188</v>
      </c>
      <c r="Y42" s="270"/>
      <c r="Z42" s="272" t="str">
        <f>R42</f>
        <v>HWPLT1&amp;3 D24</v>
      </c>
      <c r="AA42" s="290">
        <f t="shared" si="38"/>
        <v>107.94</v>
      </c>
      <c r="AB42" s="291">
        <f t="shared" si="10"/>
        <v>83.011802673339844</v>
      </c>
      <c r="AC42" s="270"/>
      <c r="AD42" s="272" t="str">
        <f t="shared" si="11"/>
        <v>HWPLT1&amp;3 D24</v>
      </c>
      <c r="AE42" s="290">
        <f t="shared" si="56"/>
        <v>316</v>
      </c>
      <c r="AF42" s="291">
        <f t="shared" si="57"/>
        <v>248.77210235595703</v>
      </c>
      <c r="AG42" s="271"/>
      <c r="AH42" s="271"/>
      <c r="AI42" s="271"/>
      <c r="AJ42" s="271"/>
      <c r="AK42" s="271"/>
      <c r="AL42" s="272" t="str">
        <f t="shared" si="14"/>
        <v>HWPLT1&amp;3 D24</v>
      </c>
      <c r="AM42" s="273">
        <f t="shared" si="15"/>
        <v>101.08</v>
      </c>
      <c r="AN42" s="273">
        <f t="shared" si="16"/>
        <v>79.551002502441406</v>
      </c>
      <c r="AO42" s="274"/>
      <c r="AP42" s="275" t="str">
        <f t="shared" si="17"/>
        <v>HWPLT1&amp;3 D24</v>
      </c>
      <c r="AQ42" s="275">
        <f t="shared" si="18"/>
        <v>104.7</v>
      </c>
      <c r="AR42" s="273">
        <f t="shared" si="19"/>
        <v>81.405998229980469</v>
      </c>
      <c r="AS42" s="276"/>
      <c r="AT42" s="275" t="str">
        <f t="shared" si="20"/>
        <v>HWPLT1&amp;3 D24</v>
      </c>
      <c r="AU42" s="273">
        <f t="shared" si="21"/>
        <v>101.77</v>
      </c>
      <c r="AV42" s="273">
        <f t="shared" si="22"/>
        <v>78.014999389648438</v>
      </c>
      <c r="AW42" s="277"/>
      <c r="AX42" s="275" t="str">
        <f t="shared" si="23"/>
        <v>HWPLT1&amp;3 D24</v>
      </c>
      <c r="AY42" s="273">
        <f t="shared" si="48"/>
        <v>307.55</v>
      </c>
      <c r="AZ42" s="273">
        <f t="shared" si="49"/>
        <v>238.97200012207031</v>
      </c>
      <c r="BA42" s="270"/>
      <c r="BB42" s="270"/>
      <c r="BC42" s="270"/>
      <c r="BD42" s="270"/>
      <c r="BE42" s="270"/>
      <c r="BF42" s="280"/>
      <c r="BG42" s="272" t="str">
        <f t="shared" si="26"/>
        <v>HWPLT1&amp;3 D24</v>
      </c>
      <c r="BH42" s="290">
        <f t="shared" si="27"/>
        <v>105.4</v>
      </c>
      <c r="BI42" s="291">
        <f t="shared" si="41"/>
        <v>79.834297180175781</v>
      </c>
      <c r="BJ42" s="280"/>
      <c r="BK42" s="272" t="str">
        <f t="shared" si="28"/>
        <v>HWPLT1&amp;3 D24</v>
      </c>
      <c r="BL42" s="290">
        <f t="shared" si="42"/>
        <v>106.1</v>
      </c>
      <c r="BM42" s="290">
        <f t="shared" si="43"/>
        <v>79.065498352050781</v>
      </c>
      <c r="BN42" s="281"/>
      <c r="BO42" s="292" t="str">
        <f t="shared" si="44"/>
        <v>HWPLT1&amp;3 D24</v>
      </c>
      <c r="BP42" s="290">
        <f t="shared" si="45"/>
        <v>82.5</v>
      </c>
      <c r="BQ42" s="291">
        <f t="shared" si="53"/>
        <v>70.725196838378906</v>
      </c>
      <c r="BR42" s="280"/>
      <c r="BS42" s="293" t="str">
        <f t="shared" si="46"/>
        <v>HWPLT1&amp;3 D24</v>
      </c>
      <c r="BT42" s="290">
        <f t="shared" si="54"/>
        <v>294</v>
      </c>
      <c r="BU42" s="291">
        <f t="shared" si="55"/>
        <v>229.62499237060547</v>
      </c>
      <c r="BV42" s="281"/>
      <c r="BW42" s="281"/>
      <c r="BX42" s="281"/>
      <c r="BY42" s="281"/>
      <c r="BZ42" s="281"/>
      <c r="CA42" s="281"/>
      <c r="CB42" s="281"/>
      <c r="CC42" s="280"/>
      <c r="CD42" s="280" t="str">
        <f t="shared" si="31"/>
        <v>HWPLT1&amp;3 D24</v>
      </c>
      <c r="CE42" s="280">
        <v>38.700000000000003</v>
      </c>
      <c r="CF42" s="280">
        <f t="shared" si="47"/>
        <v>77.552696228027344</v>
      </c>
      <c r="CG42" s="280"/>
      <c r="CH42" s="280" t="str">
        <f t="shared" si="32"/>
        <v>HWPLT1&amp;3 D24</v>
      </c>
      <c r="CI42" s="280">
        <v>38.700000000000003</v>
      </c>
      <c r="CJ42" s="284">
        <f t="shared" si="33"/>
        <v>74.331001281738281</v>
      </c>
      <c r="CK42" s="280"/>
      <c r="CL42" s="280" t="str">
        <f t="shared" si="34"/>
        <v>HWPLT1&amp;3 D24</v>
      </c>
      <c r="CM42" s="280">
        <v>38.700000000000003</v>
      </c>
      <c r="CN42" s="284">
        <f t="shared" si="35"/>
        <v>76.073997497558594</v>
      </c>
    </row>
    <row r="43" spans="1:92" ht="15" customHeight="1" x14ac:dyDescent="0.25">
      <c r="A43" s="286" t="s">
        <v>108</v>
      </c>
      <c r="B43" s="286">
        <v>48.551998138427734</v>
      </c>
      <c r="C43" s="287">
        <v>49.93170166015625</v>
      </c>
      <c r="D43" s="287">
        <v>49.696098327636719</v>
      </c>
      <c r="E43" s="287">
        <v>47.868000030517578</v>
      </c>
      <c r="F43" s="287">
        <v>49.228000640869141</v>
      </c>
      <c r="G43" s="287">
        <v>47.411998748779297</v>
      </c>
      <c r="H43" s="287">
        <v>48.759899139404297</v>
      </c>
      <c r="I43" s="287">
        <v>48.530498504638672</v>
      </c>
      <c r="J43" s="287">
        <v>43.626800537109375</v>
      </c>
      <c r="K43" s="287">
        <v>48.071701049804688</v>
      </c>
      <c r="L43" s="287">
        <v>46.301998138427734</v>
      </c>
      <c r="M43" s="288">
        <v>47.619098663330078</v>
      </c>
      <c r="N43" s="289">
        <f t="shared" si="5"/>
        <v>575.59779357910156</v>
      </c>
      <c r="O43" s="265"/>
      <c r="P43" s="266"/>
      <c r="Q43" s="266"/>
      <c r="R43" s="272" t="str">
        <f t="shared" si="6"/>
        <v>HWPLT1&amp;3 PC</v>
      </c>
      <c r="S43" s="290">
        <f t="shared" si="52"/>
        <v>84.46</v>
      </c>
      <c r="T43" s="291">
        <f t="shared" si="36"/>
        <v>48.551998138427734</v>
      </c>
      <c r="U43" s="270"/>
      <c r="V43" s="272" t="str">
        <f t="shared" si="7"/>
        <v>HWPLT1&amp;3 PC</v>
      </c>
      <c r="W43" s="290">
        <f t="shared" si="37"/>
        <v>86.82</v>
      </c>
      <c r="X43" s="291">
        <f t="shared" si="8"/>
        <v>49.93170166015625</v>
      </c>
      <c r="Y43" s="270"/>
      <c r="Z43" s="272" t="str">
        <f t="shared" si="9"/>
        <v>HWPLT1&amp;3 PC</v>
      </c>
      <c r="AA43" s="290">
        <f t="shared" si="38"/>
        <v>8.2899999999999991</v>
      </c>
      <c r="AB43" s="291">
        <f t="shared" si="10"/>
        <v>49.696098327636719</v>
      </c>
      <c r="AC43" s="270"/>
      <c r="AD43" s="272" t="str">
        <f t="shared" si="11"/>
        <v>HWPLT1&amp;3 PC</v>
      </c>
      <c r="AE43" s="290">
        <f t="shared" si="56"/>
        <v>179.56999999999996</v>
      </c>
      <c r="AF43" s="291">
        <f t="shared" si="57"/>
        <v>148.1797981262207</v>
      </c>
      <c r="AG43" s="271"/>
      <c r="AH43" s="447" t="str">
        <f>'Exhibit 1.1'!O31</f>
        <v>DEU Variance Exhibit</v>
      </c>
      <c r="AI43" s="447" t="str">
        <f>'Exhibit 1.1'!P31</f>
        <v>Docket No. 16-057-08</v>
      </c>
      <c r="AJ43" s="447" t="str">
        <f>'Exhibit 1.1'!Q31</f>
        <v>Dominion Energy Utah</v>
      </c>
      <c r="AK43" s="271"/>
      <c r="AL43" s="272" t="str">
        <f t="shared" si="14"/>
        <v>HWPLT1&amp;3 PC</v>
      </c>
      <c r="AM43" s="273">
        <f t="shared" si="15"/>
        <v>87.07</v>
      </c>
      <c r="AN43" s="273">
        <f t="shared" si="16"/>
        <v>47.868000030517578</v>
      </c>
      <c r="AO43" s="274"/>
      <c r="AP43" s="275" t="str">
        <f t="shared" si="17"/>
        <v>HWPLT1&amp;3 PC</v>
      </c>
      <c r="AQ43" s="275">
        <f t="shared" si="18"/>
        <v>88.28</v>
      </c>
      <c r="AR43" s="273">
        <f t="shared" si="19"/>
        <v>49.228000640869141</v>
      </c>
      <c r="AS43" s="276"/>
      <c r="AT43" s="275" t="str">
        <f t="shared" si="20"/>
        <v>HWPLT1&amp;3 PC</v>
      </c>
      <c r="AU43" s="273">
        <f t="shared" si="21"/>
        <v>85.97</v>
      </c>
      <c r="AV43" s="273">
        <f t="shared" si="22"/>
        <v>47.411998748779297</v>
      </c>
      <c r="AW43" s="277"/>
      <c r="AX43" s="275" t="str">
        <f t="shared" si="23"/>
        <v>HWPLT1&amp;3 PC</v>
      </c>
      <c r="AY43" s="273">
        <f t="shared" si="48"/>
        <v>261.32</v>
      </c>
      <c r="AZ43" s="273">
        <f t="shared" si="49"/>
        <v>144.50799942016602</v>
      </c>
      <c r="BA43" s="270"/>
      <c r="BE43" s="270"/>
      <c r="BF43" s="280"/>
      <c r="BG43" s="272" t="str">
        <f t="shared" si="26"/>
        <v>HWPLT1&amp;3 PC</v>
      </c>
      <c r="BH43" s="290">
        <f t="shared" si="27"/>
        <v>83.4</v>
      </c>
      <c r="BI43" s="291">
        <f t="shared" si="41"/>
        <v>48.759899139404297</v>
      </c>
      <c r="BJ43" s="280"/>
      <c r="BK43" s="272" t="str">
        <f t="shared" si="28"/>
        <v>HWPLT1&amp;3 PC</v>
      </c>
      <c r="BL43" s="290">
        <f t="shared" si="42"/>
        <v>78.7</v>
      </c>
      <c r="BM43" s="290">
        <f t="shared" si="43"/>
        <v>48.530498504638672</v>
      </c>
      <c r="BN43" s="281"/>
      <c r="BO43" s="292" t="str">
        <f t="shared" si="44"/>
        <v>HWPLT1&amp;3 PC</v>
      </c>
      <c r="BP43" s="290">
        <f t="shared" si="45"/>
        <v>54.58</v>
      </c>
      <c r="BQ43" s="291">
        <f t="shared" si="53"/>
        <v>43.626800537109375</v>
      </c>
      <c r="BR43" s="280"/>
      <c r="BS43" s="293" t="str">
        <f t="shared" si="46"/>
        <v>HWPLT1&amp;3 PC</v>
      </c>
      <c r="BT43" s="290">
        <f t="shared" si="54"/>
        <v>216.68</v>
      </c>
      <c r="BU43" s="291">
        <f t="shared" si="55"/>
        <v>140.91719818115234</v>
      </c>
      <c r="BV43" s="281"/>
      <c r="BW43" s="281"/>
      <c r="BX43" s="281"/>
      <c r="BY43" s="281"/>
      <c r="BZ43" s="281"/>
      <c r="CA43" s="281"/>
      <c r="CB43" s="281"/>
      <c r="CC43" s="280"/>
      <c r="CD43" s="280" t="str">
        <f t="shared" si="31"/>
        <v>HWPLT1&amp;3 PC</v>
      </c>
      <c r="CE43" s="280">
        <v>39.700000000000003</v>
      </c>
      <c r="CF43" s="280">
        <f t="shared" si="47"/>
        <v>48.071701049804688</v>
      </c>
      <c r="CG43" s="280"/>
      <c r="CH43" s="280" t="str">
        <f t="shared" si="32"/>
        <v>HWPLT1&amp;3 PC</v>
      </c>
      <c r="CI43" s="280">
        <v>39.700000000000003</v>
      </c>
      <c r="CJ43" s="284">
        <f t="shared" si="33"/>
        <v>46.301998138427734</v>
      </c>
      <c r="CK43" s="280"/>
      <c r="CL43" s="280" t="str">
        <f t="shared" si="34"/>
        <v>HWPLT1&amp;3 PC</v>
      </c>
      <c r="CM43" s="280">
        <v>39.700000000000003</v>
      </c>
      <c r="CN43" s="284">
        <f t="shared" si="35"/>
        <v>47.619098663330078</v>
      </c>
    </row>
    <row r="44" spans="1:92" ht="15" customHeight="1" x14ac:dyDescent="0.25">
      <c r="A44" s="286" t="s">
        <v>109</v>
      </c>
      <c r="B44" s="286">
        <v>11.859000205993652</v>
      </c>
      <c r="C44" s="287">
        <v>12.189200401306152</v>
      </c>
      <c r="D44" s="287">
        <v>12.124099731445313</v>
      </c>
      <c r="E44" s="287">
        <v>11.673000335693359</v>
      </c>
      <c r="F44" s="287">
        <v>11.996999740600586</v>
      </c>
      <c r="G44" s="287">
        <v>11.546999931335449</v>
      </c>
      <c r="H44" s="287">
        <v>11.869899749755859</v>
      </c>
      <c r="I44" s="287">
        <v>11.807900428771973</v>
      </c>
      <c r="J44" s="287">
        <v>10.606399536132812</v>
      </c>
      <c r="K44" s="287">
        <v>11.680800437927246</v>
      </c>
      <c r="L44" s="287">
        <v>11.244000434875488</v>
      </c>
      <c r="M44" s="288">
        <v>11.559900283813477</v>
      </c>
      <c r="N44" s="289">
        <f t="shared" si="5"/>
        <v>140.15820121765137</v>
      </c>
      <c r="O44" s="265"/>
      <c r="P44" s="266"/>
      <c r="Q44" s="266"/>
      <c r="R44" s="272" t="str">
        <f t="shared" si="6"/>
        <v>HWPLT2 D24</v>
      </c>
      <c r="S44" s="290">
        <f t="shared" si="52"/>
        <v>12.37</v>
      </c>
      <c r="T44" s="291">
        <f t="shared" si="36"/>
        <v>11.859000205993652</v>
      </c>
      <c r="U44" s="270"/>
      <c r="V44" s="272" t="str">
        <f t="shared" si="7"/>
        <v>HWPLT2 D24</v>
      </c>
      <c r="W44" s="290">
        <f t="shared" si="37"/>
        <v>12.29</v>
      </c>
      <c r="X44" s="291">
        <f>IFERROR(VLOOKUP(V44,$A$6:$M$105,3,FALSE),"")</f>
        <v>12.189200401306152</v>
      </c>
      <c r="Y44" s="270"/>
      <c r="Z44" s="272" t="str">
        <f t="shared" si="9"/>
        <v>HWPLT2 D24</v>
      </c>
      <c r="AA44" s="290">
        <f t="shared" si="38"/>
        <v>12.45</v>
      </c>
      <c r="AB44" s="291">
        <f t="shared" si="10"/>
        <v>12.124099731445313</v>
      </c>
      <c r="AC44" s="270"/>
      <c r="AD44" s="272" t="str">
        <f t="shared" si="11"/>
        <v>HWPLT2 D24</v>
      </c>
      <c r="AE44" s="290">
        <f t="shared" si="56"/>
        <v>37.11</v>
      </c>
      <c r="AF44" s="291">
        <f t="shared" si="57"/>
        <v>36.172300338745117</v>
      </c>
      <c r="AG44" s="271"/>
      <c r="AH44" s="447"/>
      <c r="AI44" s="447"/>
      <c r="AJ44" s="447"/>
      <c r="AK44" s="271"/>
      <c r="AL44" s="272" t="str">
        <f t="shared" si="14"/>
        <v>HWPLT2 D24</v>
      </c>
      <c r="AM44" s="273">
        <f t="shared" si="15"/>
        <v>12.9</v>
      </c>
      <c r="AN44" s="273">
        <f t="shared" si="16"/>
        <v>11.673000335693359</v>
      </c>
      <c r="AO44" s="274"/>
      <c r="AP44" s="275" t="str">
        <f t="shared" si="17"/>
        <v>HWPLT2 D24</v>
      </c>
      <c r="AQ44" s="275">
        <f t="shared" si="18"/>
        <v>13.21</v>
      </c>
      <c r="AR44" s="273">
        <f t="shared" si="19"/>
        <v>11.996999740600586</v>
      </c>
      <c r="AS44" s="276"/>
      <c r="AT44" s="275" t="str">
        <f t="shared" si="20"/>
        <v>HWPLT2 D24</v>
      </c>
      <c r="AU44" s="273">
        <f t="shared" si="21"/>
        <v>11.56</v>
      </c>
      <c r="AV44" s="273">
        <f t="shared" si="22"/>
        <v>11.546999931335449</v>
      </c>
      <c r="AW44" s="277"/>
      <c r="AX44" s="275" t="str">
        <f t="shared" si="23"/>
        <v>HWPLT2 D24</v>
      </c>
      <c r="AY44" s="273">
        <f t="shared" si="48"/>
        <v>37.67</v>
      </c>
      <c r="AZ44" s="273">
        <f t="shared" si="49"/>
        <v>35.217000007629395</v>
      </c>
      <c r="BA44" s="270"/>
      <c r="BB44" s="296"/>
      <c r="BC44" s="296"/>
      <c r="BD44" s="296"/>
      <c r="BE44" s="270"/>
      <c r="BF44" s="280"/>
      <c r="BG44" s="272" t="str">
        <f t="shared" si="26"/>
        <v>HWPLT2 D24</v>
      </c>
      <c r="BH44" s="290">
        <f t="shared" si="27"/>
        <v>10.99</v>
      </c>
      <c r="BI44" s="291">
        <f t="shared" si="41"/>
        <v>11.869899749755859</v>
      </c>
      <c r="BJ44" s="280"/>
      <c r="BK44" s="272" t="str">
        <f t="shared" si="28"/>
        <v>HWPLT2 D24</v>
      </c>
      <c r="BL44" s="290">
        <f t="shared" si="42"/>
        <v>10.33</v>
      </c>
      <c r="BM44" s="290">
        <f t="shared" si="43"/>
        <v>11.807900428771973</v>
      </c>
      <c r="BN44" s="281"/>
      <c r="BO44" s="292" t="str">
        <f t="shared" si="44"/>
        <v>HWPLT2 D24</v>
      </c>
      <c r="BP44" s="290">
        <f t="shared" si="45"/>
        <v>9.4499999999999993</v>
      </c>
      <c r="BQ44" s="291">
        <f t="shared" si="53"/>
        <v>10.606399536132812</v>
      </c>
      <c r="BR44" s="280"/>
      <c r="BS44" s="293" t="str">
        <f t="shared" si="46"/>
        <v>HWPLT2 D24</v>
      </c>
      <c r="BT44" s="290">
        <f t="shared" si="54"/>
        <v>30.77</v>
      </c>
      <c r="BU44" s="291">
        <f t="shared" si="55"/>
        <v>34.284199714660645</v>
      </c>
      <c r="BV44" s="281"/>
      <c r="BW44" s="281"/>
      <c r="BX44" s="281"/>
      <c r="BY44" s="281"/>
      <c r="BZ44" s="281"/>
      <c r="CA44" s="281"/>
      <c r="CB44" s="281"/>
      <c r="CC44" s="280"/>
      <c r="CD44" s="280" t="str">
        <f t="shared" si="31"/>
        <v>HWPLT2 D24</v>
      </c>
      <c r="CE44" s="280">
        <v>40.700000000000003</v>
      </c>
      <c r="CF44" s="280">
        <f t="shared" si="47"/>
        <v>11.680800437927246</v>
      </c>
      <c r="CG44" s="280"/>
      <c r="CH44" s="280" t="str">
        <f t="shared" si="32"/>
        <v>HWPLT2 D24</v>
      </c>
      <c r="CI44" s="280">
        <v>40.700000000000003</v>
      </c>
      <c r="CJ44" s="284">
        <f t="shared" si="33"/>
        <v>11.244000434875488</v>
      </c>
      <c r="CK44" s="280"/>
      <c r="CL44" s="280" t="str">
        <f t="shared" si="34"/>
        <v>HWPLT2 D24</v>
      </c>
      <c r="CM44" s="280">
        <v>40.700000000000003</v>
      </c>
      <c r="CN44" s="284">
        <f t="shared" si="35"/>
        <v>11.559900283813477</v>
      </c>
    </row>
    <row r="45" spans="1:92" ht="15" customHeight="1" x14ac:dyDescent="0.25">
      <c r="A45" s="286" t="s">
        <v>110</v>
      </c>
      <c r="B45" s="286">
        <v>1.1970000267028809</v>
      </c>
      <c r="C45" s="287">
        <v>1.2275999784469604</v>
      </c>
      <c r="D45" s="287">
        <v>1.2214000225067139</v>
      </c>
      <c r="E45" s="287">
        <v>1.1729999780654907</v>
      </c>
      <c r="F45" s="287">
        <v>1.2028000354766846</v>
      </c>
      <c r="G45" s="287">
        <v>1.1579999923706055</v>
      </c>
      <c r="H45" s="287">
        <v>1.1872999668121338</v>
      </c>
      <c r="I45" s="287">
        <v>1.1811000108718872</v>
      </c>
      <c r="J45" s="287">
        <v>1.0612000226974487</v>
      </c>
      <c r="K45" s="287">
        <v>1.1655999422073364</v>
      </c>
      <c r="L45" s="287">
        <v>1.1189999580383301</v>
      </c>
      <c r="M45" s="288">
        <v>1.1500999927520752</v>
      </c>
      <c r="N45" s="289">
        <f t="shared" si="5"/>
        <v>14.044099926948547</v>
      </c>
      <c r="O45" s="265"/>
      <c r="P45" s="266"/>
      <c r="Q45" s="266"/>
      <c r="R45" s="272" t="str">
        <f t="shared" si="6"/>
        <v>HWPLT2 PC</v>
      </c>
      <c r="S45" s="290">
        <f t="shared" si="52"/>
        <v>1.33</v>
      </c>
      <c r="T45" s="291">
        <f t="shared" si="36"/>
        <v>1.1970000267028809</v>
      </c>
      <c r="U45" s="270"/>
      <c r="V45" s="272" t="str">
        <f t="shared" si="7"/>
        <v>HWPLT2 PC</v>
      </c>
      <c r="W45" s="290">
        <f t="shared" si="37"/>
        <v>1.44</v>
      </c>
      <c r="X45" s="291">
        <f t="shared" si="8"/>
        <v>1.2275999784469604</v>
      </c>
      <c r="Y45" s="270"/>
      <c r="Z45" s="272" t="str">
        <f t="shared" si="9"/>
        <v>HWPLT2 PC</v>
      </c>
      <c r="AA45" s="290">
        <f t="shared" si="38"/>
        <v>1.63</v>
      </c>
      <c r="AB45" s="291">
        <f t="shared" si="10"/>
        <v>1.2214000225067139</v>
      </c>
      <c r="AC45" s="270"/>
      <c r="AD45" s="272" t="str">
        <f t="shared" si="11"/>
        <v>HWPLT2 PC</v>
      </c>
      <c r="AE45" s="290">
        <f t="shared" si="56"/>
        <v>4.4000000000000004</v>
      </c>
      <c r="AF45" s="291">
        <f t="shared" si="57"/>
        <v>3.6460000276565552</v>
      </c>
      <c r="AG45" s="271"/>
      <c r="AH45" s="447"/>
      <c r="AI45" s="447"/>
      <c r="AJ45" s="447"/>
      <c r="AK45" s="271"/>
      <c r="AL45" s="272" t="str">
        <f t="shared" si="14"/>
        <v>HWPLT2 PC</v>
      </c>
      <c r="AM45" s="273">
        <f t="shared" si="15"/>
        <v>1.65</v>
      </c>
      <c r="AN45" s="273">
        <f t="shared" si="16"/>
        <v>1.1729999780654907</v>
      </c>
      <c r="AO45" s="274"/>
      <c r="AP45" s="275" t="str">
        <f t="shared" si="17"/>
        <v>HWPLT2 PC</v>
      </c>
      <c r="AQ45" s="275">
        <f t="shared" si="18"/>
        <v>1.71</v>
      </c>
      <c r="AR45" s="273">
        <f t="shared" si="19"/>
        <v>1.2028000354766846</v>
      </c>
      <c r="AS45" s="276"/>
      <c r="AT45" s="275" t="str">
        <f t="shared" si="20"/>
        <v>HWPLT2 PC</v>
      </c>
      <c r="AU45" s="273">
        <f t="shared" si="21"/>
        <v>1.1599999999999999</v>
      </c>
      <c r="AV45" s="273">
        <f t="shared" si="22"/>
        <v>1.1579999923706055</v>
      </c>
      <c r="AW45" s="277"/>
      <c r="AX45" s="275" t="str">
        <f t="shared" si="23"/>
        <v>HWPLT2 PC</v>
      </c>
      <c r="AY45" s="273">
        <f t="shared" si="48"/>
        <v>4.5199999999999996</v>
      </c>
      <c r="AZ45" s="273">
        <f t="shared" si="49"/>
        <v>3.5338000059127808</v>
      </c>
      <c r="BA45" s="270"/>
      <c r="BB45" s="296"/>
      <c r="BC45" s="296"/>
      <c r="BD45" s="296"/>
      <c r="BE45" s="270"/>
      <c r="BF45" s="280"/>
      <c r="BG45" s="272" t="str">
        <f t="shared" si="26"/>
        <v>HWPLT2 PC</v>
      </c>
      <c r="BH45" s="290">
        <f t="shared" si="27"/>
        <v>1.1299999999999999</v>
      </c>
      <c r="BI45" s="291">
        <f t="shared" si="41"/>
        <v>1.1872999668121338</v>
      </c>
      <c r="BJ45" s="280"/>
      <c r="BK45" s="272" t="str">
        <f t="shared" si="28"/>
        <v>HWPLT2 PC</v>
      </c>
      <c r="BL45" s="290">
        <f t="shared" si="42"/>
        <v>1.07</v>
      </c>
      <c r="BM45" s="290">
        <f t="shared" si="43"/>
        <v>1.1811000108718872</v>
      </c>
      <c r="BN45" s="281"/>
      <c r="BO45" s="292" t="str">
        <f t="shared" si="44"/>
        <v>HWPLT2 PC</v>
      </c>
      <c r="BP45" s="290">
        <f t="shared" si="45"/>
        <v>1</v>
      </c>
      <c r="BQ45" s="291">
        <f t="shared" si="53"/>
        <v>1.0612000226974487</v>
      </c>
      <c r="BR45" s="280"/>
      <c r="BS45" s="293" t="str">
        <f t="shared" si="46"/>
        <v>HWPLT2 PC</v>
      </c>
      <c r="BT45" s="290">
        <f t="shared" si="54"/>
        <v>3.2</v>
      </c>
      <c r="BU45" s="291">
        <f t="shared" si="55"/>
        <v>3.4296000003814697</v>
      </c>
      <c r="BV45" s="281"/>
      <c r="BW45" s="281"/>
      <c r="BX45" s="281"/>
      <c r="BY45" s="281"/>
      <c r="BZ45" s="281"/>
      <c r="CA45" s="281"/>
      <c r="CB45" s="281"/>
      <c r="CC45" s="280"/>
      <c r="CD45" s="280" t="str">
        <f t="shared" si="31"/>
        <v>HWPLT2 PC</v>
      </c>
      <c r="CE45" s="280">
        <v>41.7</v>
      </c>
      <c r="CF45" s="280">
        <f t="shared" si="47"/>
        <v>1.1655999422073364</v>
      </c>
      <c r="CG45" s="280"/>
      <c r="CH45" s="280" t="str">
        <f t="shared" si="32"/>
        <v>HWPLT2 PC</v>
      </c>
      <c r="CI45" s="280">
        <v>41.7</v>
      </c>
      <c r="CJ45" s="284">
        <f t="shared" si="33"/>
        <v>1.1189999580383301</v>
      </c>
      <c r="CK45" s="280"/>
      <c r="CL45" s="280" t="str">
        <f t="shared" si="34"/>
        <v>HWPLT2 PC</v>
      </c>
      <c r="CM45" s="280">
        <v>41.7</v>
      </c>
      <c r="CN45" s="284">
        <f t="shared" si="35"/>
        <v>1.1500999927520752</v>
      </c>
    </row>
    <row r="46" spans="1:92" ht="15" customHeight="1" x14ac:dyDescent="0.25">
      <c r="A46" s="286" t="s">
        <v>197</v>
      </c>
      <c r="B46" s="286">
        <v>3.0840001106262207</v>
      </c>
      <c r="C46" s="287">
        <v>3.16510009765625</v>
      </c>
      <c r="D46" s="287">
        <v>3.1465001106262207</v>
      </c>
      <c r="E46" s="287">
        <v>3.0239999294281006</v>
      </c>
      <c r="F46" s="287">
        <v>3.1061999797821045</v>
      </c>
      <c r="G46" s="287">
        <v>2.9849998950958252</v>
      </c>
      <c r="H46" s="287">
        <v>3.0659000873565674</v>
      </c>
      <c r="I46" s="287">
        <v>3.0473001003265381</v>
      </c>
      <c r="J46" s="287">
        <v>2.7328000068664551</v>
      </c>
      <c r="K46" s="287">
        <v>3.0069999694824219</v>
      </c>
      <c r="L46" s="287">
        <v>2.8919999599456787</v>
      </c>
      <c r="M46" s="288">
        <v>2.9667000770568848</v>
      </c>
      <c r="N46" s="289">
        <f t="shared" si="5"/>
        <v>36.222500324249268</v>
      </c>
      <c r="O46" s="265"/>
      <c r="P46" s="266"/>
      <c r="Q46" s="266"/>
      <c r="R46" s="272" t="str">
        <f t="shared" si="6"/>
        <v>HWPLT2MT D24</v>
      </c>
      <c r="S46" s="290">
        <f t="shared" si="52"/>
        <v>5.93</v>
      </c>
      <c r="T46" s="291">
        <f t="shared" si="36"/>
        <v>3.0840001106262207</v>
      </c>
      <c r="U46" s="270"/>
      <c r="V46" s="272" t="str">
        <f t="shared" si="7"/>
        <v>HWPLT2MT D24</v>
      </c>
      <c r="W46" s="290">
        <f t="shared" si="37"/>
        <v>6.1</v>
      </c>
      <c r="X46" s="291">
        <f t="shared" si="8"/>
        <v>3.16510009765625</v>
      </c>
      <c r="Y46" s="270"/>
      <c r="Z46" s="272" t="str">
        <f t="shared" si="9"/>
        <v>HWPLT2MT D24</v>
      </c>
      <c r="AA46" s="290">
        <f t="shared" si="38"/>
        <v>5.8</v>
      </c>
      <c r="AB46" s="291">
        <f t="shared" si="10"/>
        <v>3.1465001106262207</v>
      </c>
      <c r="AC46" s="270"/>
      <c r="AD46" s="272" t="str">
        <f t="shared" si="11"/>
        <v>HWPLT2MT D24</v>
      </c>
      <c r="AE46" s="290">
        <f t="shared" si="56"/>
        <v>17.829999999999998</v>
      </c>
      <c r="AF46" s="291">
        <f t="shared" si="57"/>
        <v>9.3956003189086914</v>
      </c>
      <c r="AG46" s="271"/>
      <c r="AH46" s="447"/>
      <c r="AI46" s="447"/>
      <c r="AJ46" s="447"/>
      <c r="AK46" s="271"/>
      <c r="AL46" s="297" t="str">
        <f t="shared" si="14"/>
        <v>HWPLT2MT D24</v>
      </c>
      <c r="AM46" s="273">
        <f t="shared" si="15"/>
        <v>5.97</v>
      </c>
      <c r="AN46" s="273">
        <f t="shared" si="16"/>
        <v>3.0239999294281006</v>
      </c>
      <c r="AO46" s="274"/>
      <c r="AP46" s="298" t="str">
        <f t="shared" si="17"/>
        <v>HWPLT2MT D24</v>
      </c>
      <c r="AQ46" s="275">
        <f t="shared" si="18"/>
        <v>6.68</v>
      </c>
      <c r="AR46" s="273">
        <f t="shared" si="19"/>
        <v>3.1061999797821045</v>
      </c>
      <c r="AS46" s="276"/>
      <c r="AT46" s="298" t="str">
        <f t="shared" si="20"/>
        <v>HWPLT2MT D24</v>
      </c>
      <c r="AU46" s="273">
        <f t="shared" si="21"/>
        <v>6.69</v>
      </c>
      <c r="AV46" s="273">
        <f t="shared" si="22"/>
        <v>2.9849998950958252</v>
      </c>
      <c r="AW46" s="277"/>
      <c r="AX46" s="298" t="str">
        <f t="shared" si="23"/>
        <v>HWPLT2MT D24</v>
      </c>
      <c r="AY46" s="273">
        <f t="shared" si="48"/>
        <v>19.34</v>
      </c>
      <c r="AZ46" s="273">
        <f t="shared" si="49"/>
        <v>9.1151998043060303</v>
      </c>
      <c r="BA46" s="270"/>
      <c r="BB46" s="447" t="s">
        <v>70</v>
      </c>
      <c r="BC46" s="447" t="str">
        <f>'Ex 1 HDD'!I1</f>
        <v>Docket No. 16-057-08</v>
      </c>
      <c r="BD46" s="447" t="s">
        <v>69</v>
      </c>
      <c r="BE46" s="270"/>
      <c r="BF46" s="280"/>
      <c r="BG46" s="272" t="str">
        <f t="shared" si="26"/>
        <v>HWPLT2MT D24</v>
      </c>
      <c r="BH46" s="290">
        <f t="shared" si="27"/>
        <v>5.96</v>
      </c>
      <c r="BI46" s="291">
        <f t="shared" si="41"/>
        <v>3.0659000873565674</v>
      </c>
      <c r="BJ46" s="280"/>
      <c r="BK46" s="297" t="str">
        <f t="shared" si="28"/>
        <v>HWPLT2MT D24</v>
      </c>
      <c r="BL46" s="290">
        <f t="shared" si="42"/>
        <v>6.63</v>
      </c>
      <c r="BM46" s="290">
        <f t="shared" si="43"/>
        <v>3.0473001003265381</v>
      </c>
      <c r="BN46" s="281"/>
      <c r="BO46" s="292" t="str">
        <f t="shared" si="44"/>
        <v>HWPLT2MT D24</v>
      </c>
      <c r="BP46" s="290">
        <f t="shared" si="45"/>
        <v>5.8</v>
      </c>
      <c r="BQ46" s="291">
        <f t="shared" si="53"/>
        <v>2.7328000068664551</v>
      </c>
      <c r="BR46" s="280"/>
      <c r="BS46" s="293" t="str">
        <f t="shared" si="46"/>
        <v>HWPLT2MT D24</v>
      </c>
      <c r="BT46" s="290">
        <f t="shared" si="54"/>
        <v>18.39</v>
      </c>
      <c r="BU46" s="291">
        <f t="shared" si="55"/>
        <v>8.8460001945495605</v>
      </c>
      <c r="BV46" s="446" t="s">
        <v>70</v>
      </c>
      <c r="BW46" s="447" t="s">
        <v>204</v>
      </c>
      <c r="BX46" s="447" t="s">
        <v>69</v>
      </c>
      <c r="BY46" s="281"/>
      <c r="BZ46" s="281"/>
      <c r="CA46" s="281"/>
      <c r="CB46" s="281"/>
      <c r="CC46" s="280"/>
      <c r="CD46" s="280" t="str">
        <f t="shared" si="31"/>
        <v>HWPLT2MT D24</v>
      </c>
      <c r="CE46" s="280">
        <v>42.7</v>
      </c>
      <c r="CF46" s="280">
        <f t="shared" si="47"/>
        <v>3.0069999694824219</v>
      </c>
      <c r="CG46" s="280"/>
      <c r="CH46" s="280" t="str">
        <f t="shared" si="32"/>
        <v>HWPLT2MT D24</v>
      </c>
      <c r="CI46" s="280">
        <v>42.7</v>
      </c>
      <c r="CJ46" s="284">
        <f t="shared" si="33"/>
        <v>2.8919999599456787</v>
      </c>
      <c r="CK46" s="280"/>
      <c r="CL46" s="280" t="str">
        <f t="shared" si="34"/>
        <v>HWPLT2MT D24</v>
      </c>
      <c r="CM46" s="280">
        <v>42.7</v>
      </c>
      <c r="CN46" s="284">
        <f t="shared" si="35"/>
        <v>2.9667000770568848</v>
      </c>
    </row>
    <row r="47" spans="1:92" ht="15" customHeight="1" x14ac:dyDescent="0.25">
      <c r="A47" s="286" t="s">
        <v>111</v>
      </c>
      <c r="B47" s="286">
        <v>65.393997192382813</v>
      </c>
      <c r="C47" s="287">
        <v>67.049896240234375</v>
      </c>
      <c r="D47" s="287">
        <v>66.5260009765625</v>
      </c>
      <c r="E47" s="287">
        <v>63.884998321533203</v>
      </c>
      <c r="F47" s="287">
        <v>65.509201049804688</v>
      </c>
      <c r="G47" s="287">
        <v>62.061000823974609</v>
      </c>
      <c r="H47" s="287">
        <v>63.643001556396484</v>
      </c>
      <c r="I47" s="287">
        <v>63.168701171875</v>
      </c>
      <c r="J47" s="287">
        <v>56.624401092529297</v>
      </c>
      <c r="K47" s="287">
        <v>62.226299285888672</v>
      </c>
      <c r="L47" s="287">
        <v>59.771999359130859</v>
      </c>
      <c r="M47" s="288">
        <v>61.302501678466797</v>
      </c>
      <c r="N47" s="289">
        <f t="shared" si="5"/>
        <v>757.1619987487793</v>
      </c>
      <c r="O47" s="265"/>
      <c r="P47" s="266"/>
      <c r="Q47" s="266"/>
      <c r="R47" s="272" t="str">
        <f t="shared" si="6"/>
        <v>ISLAND D24</v>
      </c>
      <c r="S47" s="290">
        <f t="shared" si="52"/>
        <v>74.61</v>
      </c>
      <c r="T47" s="291">
        <f t="shared" si="36"/>
        <v>65.393997192382813</v>
      </c>
      <c r="U47" s="270"/>
      <c r="V47" s="272" t="str">
        <f t="shared" si="7"/>
        <v>ISLAND D24</v>
      </c>
      <c r="W47" s="290">
        <f t="shared" si="37"/>
        <v>78.209999999999994</v>
      </c>
      <c r="X47" s="291">
        <f t="shared" si="8"/>
        <v>67.049896240234375</v>
      </c>
      <c r="Y47" s="270"/>
      <c r="Z47" s="272" t="str">
        <f t="shared" si="9"/>
        <v>ISLAND D24</v>
      </c>
      <c r="AA47" s="290">
        <f t="shared" si="38"/>
        <v>69.44</v>
      </c>
      <c r="AB47" s="291">
        <f t="shared" si="10"/>
        <v>66.5260009765625</v>
      </c>
      <c r="AC47" s="270"/>
      <c r="AD47" s="272" t="str">
        <f t="shared" si="11"/>
        <v>ISLAND D24</v>
      </c>
      <c r="AE47" s="290">
        <f t="shared" si="56"/>
        <v>222.26</v>
      </c>
      <c r="AF47" s="291">
        <f t="shared" si="57"/>
        <v>198.96989440917969</v>
      </c>
      <c r="AG47" s="271"/>
      <c r="AH47" s="447"/>
      <c r="AI47" s="447"/>
      <c r="AJ47" s="447"/>
      <c r="AK47" s="271"/>
      <c r="AL47" s="297" t="str">
        <f t="shared" si="14"/>
        <v>ISLAND D24</v>
      </c>
      <c r="AM47" s="273">
        <f t="shared" si="15"/>
        <v>68.27</v>
      </c>
      <c r="AN47" s="273">
        <f t="shared" si="16"/>
        <v>63.884998321533203</v>
      </c>
      <c r="AO47" s="274"/>
      <c r="AP47" s="298" t="str">
        <f t="shared" si="17"/>
        <v>ISLAND D24</v>
      </c>
      <c r="AQ47" s="275">
        <f t="shared" si="18"/>
        <v>74.989999999999995</v>
      </c>
      <c r="AR47" s="273">
        <f t="shared" si="19"/>
        <v>65.509201049804688</v>
      </c>
      <c r="AS47" s="276"/>
      <c r="AT47" s="298" t="str">
        <f t="shared" si="20"/>
        <v>ISLAND D24</v>
      </c>
      <c r="AU47" s="273">
        <f t="shared" si="21"/>
        <v>68.59</v>
      </c>
      <c r="AV47" s="273">
        <f t="shared" si="22"/>
        <v>62.061000823974609</v>
      </c>
      <c r="AW47" s="277"/>
      <c r="AX47" s="298" t="str">
        <f t="shared" si="23"/>
        <v>ISLAND D24</v>
      </c>
      <c r="AY47" s="273">
        <f t="shared" si="48"/>
        <v>211.85</v>
      </c>
      <c r="AZ47" s="273">
        <f t="shared" si="49"/>
        <v>191.4552001953125</v>
      </c>
      <c r="BA47" s="270"/>
      <c r="BB47" s="447"/>
      <c r="BC47" s="447"/>
      <c r="BD47" s="447"/>
      <c r="BE47" s="270"/>
      <c r="BF47" s="280"/>
      <c r="BG47" s="272" t="str">
        <f t="shared" si="26"/>
        <v>ISLAND D24</v>
      </c>
      <c r="BH47" s="290">
        <f t="shared" si="27"/>
        <v>68.33</v>
      </c>
      <c r="BI47" s="291">
        <f t="shared" si="41"/>
        <v>63.643001556396484</v>
      </c>
      <c r="BJ47" s="280"/>
      <c r="BK47" s="297" t="str">
        <f t="shared" si="28"/>
        <v>ISLAND D24</v>
      </c>
      <c r="BL47" s="290">
        <f t="shared" si="42"/>
        <v>66.55</v>
      </c>
      <c r="BM47" s="290">
        <f t="shared" si="43"/>
        <v>63.168701171875</v>
      </c>
      <c r="BN47" s="281"/>
      <c r="BO47" s="292" t="str">
        <f t="shared" si="44"/>
        <v>ISLAND D24</v>
      </c>
      <c r="BP47" s="290">
        <f t="shared" si="45"/>
        <v>57.65</v>
      </c>
      <c r="BQ47" s="291">
        <f t="shared" si="53"/>
        <v>56.624401092529297</v>
      </c>
      <c r="BR47" s="280"/>
      <c r="BS47" s="293" t="str">
        <f t="shared" si="46"/>
        <v>ISLAND D24</v>
      </c>
      <c r="BT47" s="290">
        <f t="shared" si="54"/>
        <v>192.53</v>
      </c>
      <c r="BU47" s="291">
        <f t="shared" si="55"/>
        <v>183.43610382080078</v>
      </c>
      <c r="BV47" s="446"/>
      <c r="BW47" s="447"/>
      <c r="BX47" s="447"/>
      <c r="BY47" s="281"/>
      <c r="BZ47" s="281"/>
      <c r="CA47" s="281"/>
      <c r="CB47" s="281"/>
      <c r="CC47" s="280"/>
      <c r="CD47" s="280" t="str">
        <f t="shared" si="31"/>
        <v>ISLAND D24</v>
      </c>
      <c r="CE47" s="280">
        <v>43.7</v>
      </c>
      <c r="CF47" s="280">
        <f t="shared" si="47"/>
        <v>62.226299285888672</v>
      </c>
      <c r="CG47" s="280"/>
      <c r="CH47" s="280" t="str">
        <f t="shared" si="32"/>
        <v>ISLAND D24</v>
      </c>
      <c r="CI47" s="280">
        <v>43.7</v>
      </c>
      <c r="CJ47" s="284">
        <f t="shared" si="33"/>
        <v>59.771999359130859</v>
      </c>
      <c r="CK47" s="280"/>
      <c r="CL47" s="280" t="str">
        <f t="shared" si="34"/>
        <v>ISLAND D24</v>
      </c>
      <c r="CM47" s="280">
        <v>43.7</v>
      </c>
      <c r="CN47" s="284">
        <f t="shared" si="35"/>
        <v>61.302501678466797</v>
      </c>
    </row>
    <row r="48" spans="1:92" ht="15" customHeight="1" x14ac:dyDescent="0.25">
      <c r="A48" s="286" t="s">
        <v>112</v>
      </c>
      <c r="B48" s="286">
        <v>0.6809999942779541</v>
      </c>
      <c r="C48" s="287">
        <v>0.69749999046325684</v>
      </c>
      <c r="D48" s="287">
        <v>0.69440001249313354</v>
      </c>
      <c r="E48" s="287">
        <v>0.66900002956390381</v>
      </c>
      <c r="F48" s="287">
        <v>0.68819999694824219</v>
      </c>
      <c r="G48" s="287">
        <v>0.66299998760223389</v>
      </c>
      <c r="H48" s="287">
        <v>0.67890000343322754</v>
      </c>
      <c r="I48" s="287">
        <v>0.67580002546310425</v>
      </c>
      <c r="J48" s="287">
        <v>0.60759997367858887</v>
      </c>
      <c r="K48" s="287">
        <v>0.66960000991821289</v>
      </c>
      <c r="L48" s="287">
        <v>0.64499998092651367</v>
      </c>
      <c r="M48" s="288">
        <v>0.66339999437332153</v>
      </c>
      <c r="N48" s="289">
        <f t="shared" si="5"/>
        <v>8.0333999991416931</v>
      </c>
      <c r="P48" s="266"/>
      <c r="Q48" s="266"/>
      <c r="R48" s="272" t="str">
        <f t="shared" si="6"/>
        <v>ISLAND PC</v>
      </c>
      <c r="S48" s="290">
        <f t="shared" si="52"/>
        <v>0.89</v>
      </c>
      <c r="T48" s="291">
        <f t="shared" si="36"/>
        <v>0.6809999942779541</v>
      </c>
      <c r="U48" s="270"/>
      <c r="V48" s="272" t="str">
        <f t="shared" si="7"/>
        <v>ISLAND PC</v>
      </c>
      <c r="W48" s="290">
        <f t="shared" si="37"/>
        <v>0.54</v>
      </c>
      <c r="X48" s="291">
        <f t="shared" si="8"/>
        <v>0.69749999046325684</v>
      </c>
      <c r="Y48" s="270"/>
      <c r="Z48" s="272" t="str">
        <f t="shared" si="9"/>
        <v>ISLAND PC</v>
      </c>
      <c r="AA48" s="290">
        <f t="shared" si="38"/>
        <v>0.89</v>
      </c>
      <c r="AB48" s="291">
        <f t="shared" si="10"/>
        <v>0.69440001249313354</v>
      </c>
      <c r="AC48" s="270"/>
      <c r="AD48" s="272" t="str">
        <f t="shared" si="11"/>
        <v>ISLAND PC</v>
      </c>
      <c r="AE48" s="290">
        <f t="shared" si="56"/>
        <v>2.3200000000000003</v>
      </c>
      <c r="AF48" s="291">
        <f t="shared" si="57"/>
        <v>2.0728999972343445</v>
      </c>
      <c r="AG48" s="271"/>
      <c r="AH48" s="447"/>
      <c r="AI48" s="447"/>
      <c r="AJ48" s="447"/>
      <c r="AK48" s="271"/>
      <c r="AL48" s="297" t="str">
        <f t="shared" si="14"/>
        <v>ISLAND PC</v>
      </c>
      <c r="AM48" s="273">
        <f t="shared" si="15"/>
        <v>0.79</v>
      </c>
      <c r="AN48" s="273">
        <f t="shared" si="16"/>
        <v>0.66900002956390381</v>
      </c>
      <c r="AO48" s="274"/>
      <c r="AP48" s="298" t="str">
        <f t="shared" si="17"/>
        <v>ISLAND PC</v>
      </c>
      <c r="AQ48" s="275">
        <f t="shared" si="18"/>
        <v>0.86</v>
      </c>
      <c r="AR48" s="273">
        <f t="shared" si="19"/>
        <v>0.68819999694824219</v>
      </c>
      <c r="AS48" s="276"/>
      <c r="AT48" s="298" t="str">
        <f t="shared" si="20"/>
        <v>ISLAND PC</v>
      </c>
      <c r="AU48" s="273">
        <f t="shared" si="21"/>
        <v>0.87</v>
      </c>
      <c r="AV48" s="273">
        <f t="shared" si="22"/>
        <v>0.66299998760223389</v>
      </c>
      <c r="AW48" s="277"/>
      <c r="AX48" s="298" t="str">
        <f t="shared" si="23"/>
        <v>ISLAND PC</v>
      </c>
      <c r="AY48" s="273">
        <f t="shared" ref="AY48:AY105" si="58">SUM(AM48,AQ48,AU48)</f>
        <v>2.52</v>
      </c>
      <c r="AZ48" s="273">
        <f t="shared" ref="AZ48:AZ105" si="59">SUM(AN48,AR48,AV48)</f>
        <v>2.0202000141143799</v>
      </c>
      <c r="BA48" s="270"/>
      <c r="BB48" s="447"/>
      <c r="BC48" s="447"/>
      <c r="BD48" s="447"/>
      <c r="BE48" s="270"/>
      <c r="BF48" s="280"/>
      <c r="BG48" s="272" t="str">
        <f t="shared" si="26"/>
        <v>ISLAND PC</v>
      </c>
      <c r="BH48" s="290">
        <f t="shared" si="27"/>
        <v>0.85</v>
      </c>
      <c r="BI48" s="291">
        <f t="shared" si="41"/>
        <v>0.67890000343322754</v>
      </c>
      <c r="BJ48" s="280"/>
      <c r="BK48" s="297" t="str">
        <f t="shared" si="28"/>
        <v>ISLAND PC</v>
      </c>
      <c r="BL48" s="290">
        <f t="shared" si="42"/>
        <v>0.77</v>
      </c>
      <c r="BM48" s="290">
        <f t="shared" si="43"/>
        <v>0.67580002546310425</v>
      </c>
      <c r="BN48" s="281"/>
      <c r="BO48" s="292" t="str">
        <f t="shared" si="44"/>
        <v>ISLAND PC</v>
      </c>
      <c r="BP48" s="290">
        <f t="shared" si="45"/>
        <v>0.81</v>
      </c>
      <c r="BQ48" s="291">
        <f t="shared" si="53"/>
        <v>0.60759997367858887</v>
      </c>
      <c r="BR48" s="280"/>
      <c r="BS48" s="293" t="str">
        <f t="shared" si="46"/>
        <v>ISLAND PC</v>
      </c>
      <c r="BT48" s="290">
        <f t="shared" si="54"/>
        <v>2.4300000000000002</v>
      </c>
      <c r="BU48" s="291">
        <f t="shared" si="55"/>
        <v>1.9623000025749207</v>
      </c>
      <c r="BV48" s="446"/>
      <c r="BW48" s="447"/>
      <c r="BX48" s="447"/>
      <c r="BY48" s="281"/>
      <c r="BZ48" s="281"/>
      <c r="CA48" s="281"/>
      <c r="CB48" s="281"/>
      <c r="CC48" s="280"/>
      <c r="CD48" s="280" t="str">
        <f t="shared" si="31"/>
        <v>ISLAND PC</v>
      </c>
      <c r="CE48" s="280">
        <v>44.7</v>
      </c>
      <c r="CF48" s="280">
        <f t="shared" si="47"/>
        <v>0.66960000991821289</v>
      </c>
      <c r="CG48" s="280"/>
      <c r="CH48" s="280" t="str">
        <f t="shared" si="32"/>
        <v>ISLAND PC</v>
      </c>
      <c r="CI48" s="280">
        <v>44.7</v>
      </c>
      <c r="CJ48" s="284">
        <f t="shared" si="33"/>
        <v>0.64499998092651367</v>
      </c>
      <c r="CK48" s="280"/>
      <c r="CL48" s="280" t="str">
        <f t="shared" si="34"/>
        <v>ISLAND PC</v>
      </c>
      <c r="CM48" s="280">
        <v>44.7</v>
      </c>
      <c r="CN48" s="284">
        <f t="shared" si="35"/>
        <v>0.66339999437332153</v>
      </c>
    </row>
    <row r="49" spans="1:92" ht="15" customHeight="1" x14ac:dyDescent="0.25">
      <c r="A49" s="286" t="s">
        <v>113</v>
      </c>
      <c r="B49" s="286">
        <v>2.2606000900268555</v>
      </c>
      <c r="C49" s="287">
        <v>2.3436000347137451</v>
      </c>
      <c r="D49" s="287">
        <v>2.3343000411987305</v>
      </c>
      <c r="E49" s="287">
        <v>2.25</v>
      </c>
      <c r="F49" s="287">
        <v>2.3125998973846436</v>
      </c>
      <c r="G49" s="287">
        <v>2.2290000915527344</v>
      </c>
      <c r="H49" s="287">
        <v>2.2939999103546143</v>
      </c>
      <c r="I49" s="287">
        <v>2.2846999168395996</v>
      </c>
      <c r="J49" s="287">
        <v>2.0552000999450684</v>
      </c>
      <c r="K49" s="287">
        <v>2.2660999298095703</v>
      </c>
      <c r="L49" s="287">
        <v>2.1840000152587891</v>
      </c>
      <c r="M49" s="288">
        <v>2.247499942779541</v>
      </c>
      <c r="N49" s="289">
        <f t="shared" si="5"/>
        <v>27.061599969863892</v>
      </c>
      <c r="O49" s="265"/>
      <c r="P49" s="266"/>
      <c r="Q49" s="266"/>
      <c r="R49" s="272" t="str">
        <f t="shared" si="6"/>
        <v>JNSNRDG D24</v>
      </c>
      <c r="S49" s="290">
        <f t="shared" si="52"/>
        <v>2.73</v>
      </c>
      <c r="T49" s="291">
        <f t="shared" si="36"/>
        <v>2.2606000900268555</v>
      </c>
      <c r="U49" s="270"/>
      <c r="V49" s="272" t="str">
        <f t="shared" si="7"/>
        <v>JNSNRDG D24</v>
      </c>
      <c r="W49" s="290">
        <f t="shared" si="37"/>
        <v>2.8</v>
      </c>
      <c r="X49" s="291">
        <f t="shared" si="8"/>
        <v>2.3436000347137451</v>
      </c>
      <c r="Y49" s="270"/>
      <c r="Z49" s="272" t="str">
        <f t="shared" si="9"/>
        <v>JNSNRDG D24</v>
      </c>
      <c r="AA49" s="290">
        <f t="shared" si="38"/>
        <v>2.81</v>
      </c>
      <c r="AB49" s="291">
        <f t="shared" si="10"/>
        <v>2.3343000411987305</v>
      </c>
      <c r="AC49" s="270"/>
      <c r="AD49" s="272" t="str">
        <f t="shared" si="11"/>
        <v>JNSNRDG D24</v>
      </c>
      <c r="AE49" s="290">
        <f t="shared" si="56"/>
        <v>8.34</v>
      </c>
      <c r="AF49" s="291">
        <f t="shared" si="57"/>
        <v>6.9385001659393311</v>
      </c>
      <c r="AG49" s="271"/>
      <c r="AH49" s="447"/>
      <c r="AI49" s="447"/>
      <c r="AJ49" s="447"/>
      <c r="AK49" s="271"/>
      <c r="AL49" s="272" t="str">
        <f t="shared" si="14"/>
        <v>JNSNRDG D24</v>
      </c>
      <c r="AM49" s="273">
        <f t="shared" si="15"/>
        <v>2.4500000000000002</v>
      </c>
      <c r="AN49" s="273">
        <f t="shared" si="16"/>
        <v>2.25</v>
      </c>
      <c r="AO49" s="274"/>
      <c r="AP49" s="275" t="str">
        <f t="shared" si="17"/>
        <v>JNSNRDG D24</v>
      </c>
      <c r="AQ49" s="275">
        <f t="shared" si="18"/>
        <v>0.41</v>
      </c>
      <c r="AR49" s="273">
        <f t="shared" si="19"/>
        <v>2.3125998973846436</v>
      </c>
      <c r="AS49" s="276"/>
      <c r="AT49" s="275" t="str">
        <f t="shared" si="20"/>
        <v>JNSNRDG D24</v>
      </c>
      <c r="AU49" s="273">
        <f t="shared" si="21"/>
        <v>0.3</v>
      </c>
      <c r="AV49" s="273">
        <f t="shared" si="22"/>
        <v>2.2290000915527344</v>
      </c>
      <c r="AW49" s="277"/>
      <c r="AX49" s="275" t="str">
        <f t="shared" si="23"/>
        <v>JNSNRDG D24</v>
      </c>
      <c r="AY49" s="273">
        <f t="shared" si="58"/>
        <v>3.16</v>
      </c>
      <c r="AZ49" s="273">
        <f t="shared" si="59"/>
        <v>6.7915999889373779</v>
      </c>
      <c r="BA49" s="270"/>
      <c r="BB49" s="447"/>
      <c r="BC49" s="447"/>
      <c r="BD49" s="447"/>
      <c r="BE49" s="270"/>
      <c r="BF49" s="280"/>
      <c r="BG49" s="272" t="str">
        <f t="shared" si="26"/>
        <v>JNSNRDG D24</v>
      </c>
      <c r="BH49" s="290">
        <f t="shared" si="27"/>
        <v>0</v>
      </c>
      <c r="BI49" s="291">
        <f t="shared" si="41"/>
        <v>2.2939999103546143</v>
      </c>
      <c r="BJ49" s="280"/>
      <c r="BK49" s="272" t="str">
        <f t="shared" si="28"/>
        <v>JNSNRDG D24</v>
      </c>
      <c r="BL49" s="290">
        <f t="shared" si="42"/>
        <v>0</v>
      </c>
      <c r="BM49" s="290">
        <f t="shared" si="43"/>
        <v>2.2846999168395996</v>
      </c>
      <c r="BN49" s="281"/>
      <c r="BO49" s="292" t="str">
        <f t="shared" si="44"/>
        <v>JNSNRDG D24</v>
      </c>
      <c r="BP49" s="290">
        <f t="shared" si="45"/>
        <v>0</v>
      </c>
      <c r="BQ49" s="291">
        <f t="shared" si="53"/>
        <v>2.0552000999450684</v>
      </c>
      <c r="BR49" s="280"/>
      <c r="BS49" s="293" t="str">
        <f t="shared" si="46"/>
        <v>JNSNRDG D24</v>
      </c>
      <c r="BT49" s="290">
        <f t="shared" si="54"/>
        <v>0</v>
      </c>
      <c r="BU49" s="291">
        <f t="shared" si="55"/>
        <v>6.6338999271392822</v>
      </c>
      <c r="BV49" s="446"/>
      <c r="BW49" s="447"/>
      <c r="BX49" s="447"/>
      <c r="BY49" s="281"/>
      <c r="BZ49" s="281"/>
      <c r="CA49" s="281"/>
      <c r="CB49" s="281"/>
      <c r="CC49" s="280"/>
      <c r="CD49" s="280" t="str">
        <f t="shared" si="31"/>
        <v>JNSNRDG D24</v>
      </c>
      <c r="CE49" s="280">
        <v>45.7</v>
      </c>
      <c r="CF49" s="280">
        <f t="shared" si="47"/>
        <v>2.2660999298095703</v>
      </c>
      <c r="CG49" s="280"/>
      <c r="CH49" s="280" t="str">
        <f t="shared" si="32"/>
        <v>JNSNRDG D24</v>
      </c>
      <c r="CI49" s="280">
        <v>45.7</v>
      </c>
      <c r="CJ49" s="284">
        <f t="shared" si="33"/>
        <v>2.1840000152587891</v>
      </c>
      <c r="CK49" s="280"/>
      <c r="CL49" s="280" t="str">
        <f t="shared" si="34"/>
        <v>JNSNRDG D24</v>
      </c>
      <c r="CM49" s="280">
        <v>45.7</v>
      </c>
      <c r="CN49" s="284">
        <f t="shared" si="35"/>
        <v>2.247499942779541</v>
      </c>
    </row>
    <row r="50" spans="1:92" ht="15" customHeight="1" x14ac:dyDescent="0.25">
      <c r="A50" s="286" t="s">
        <v>114</v>
      </c>
      <c r="B50" s="286">
        <v>2.7351000308990479</v>
      </c>
      <c r="C50" s="287">
        <v>0.50400000810623169</v>
      </c>
      <c r="D50" s="287">
        <v>3.1124000549316406</v>
      </c>
      <c r="E50" s="287">
        <v>2.996999979019165</v>
      </c>
      <c r="F50" s="287">
        <v>3.0813999176025391</v>
      </c>
      <c r="G50" s="287">
        <v>2.9700000286102295</v>
      </c>
      <c r="H50" s="287">
        <v>3.0534999370574951</v>
      </c>
      <c r="I50" s="287">
        <v>3.0380001068115234</v>
      </c>
      <c r="J50" s="287">
        <v>2.7300000190734863</v>
      </c>
      <c r="K50" s="287">
        <v>3.0100998878479004</v>
      </c>
      <c r="L50" s="287">
        <v>2.8980000019073486</v>
      </c>
      <c r="M50" s="288">
        <v>2.9821999073028564</v>
      </c>
      <c r="N50" s="289">
        <f t="shared" si="5"/>
        <v>33.111699879169464</v>
      </c>
      <c r="O50" s="265"/>
      <c r="P50" s="266"/>
      <c r="Q50" s="266"/>
      <c r="R50" s="272" t="str">
        <f t="shared" si="6"/>
        <v>JNSNRDG PC</v>
      </c>
      <c r="S50" s="290">
        <f t="shared" si="52"/>
        <v>3.36</v>
      </c>
      <c r="T50" s="291">
        <f t="shared" si="36"/>
        <v>2.7351000308990479</v>
      </c>
      <c r="U50" s="270"/>
      <c r="V50" s="272" t="str">
        <f t="shared" si="7"/>
        <v>JNSNRDG PC</v>
      </c>
      <c r="W50" s="290">
        <f t="shared" si="37"/>
        <v>3.46</v>
      </c>
      <c r="X50" s="291">
        <f t="shared" si="8"/>
        <v>0.50400000810623169</v>
      </c>
      <c r="Y50" s="270"/>
      <c r="Z50" s="272" t="str">
        <f t="shared" si="9"/>
        <v>JNSNRDG PC</v>
      </c>
      <c r="AA50" s="290">
        <f t="shared" si="38"/>
        <v>3.55</v>
      </c>
      <c r="AB50" s="291">
        <f t="shared" si="10"/>
        <v>3.1124000549316406</v>
      </c>
      <c r="AC50" s="270"/>
      <c r="AD50" s="272" t="str">
        <f t="shared" si="11"/>
        <v>JNSNRDG PC</v>
      </c>
      <c r="AE50" s="290">
        <f t="shared" si="56"/>
        <v>10.370000000000001</v>
      </c>
      <c r="AF50" s="291">
        <f t="shared" si="57"/>
        <v>6.3515000939369202</v>
      </c>
      <c r="AG50" s="271"/>
      <c r="AH50" s="299"/>
      <c r="AI50" s="299"/>
      <c r="AJ50" s="299"/>
      <c r="AK50" s="271"/>
      <c r="AL50" s="297" t="str">
        <f t="shared" si="14"/>
        <v>JNSNRDG PC</v>
      </c>
      <c r="AM50" s="273">
        <f t="shared" si="15"/>
        <v>3.23</v>
      </c>
      <c r="AN50" s="273">
        <f t="shared" si="16"/>
        <v>2.996999979019165</v>
      </c>
      <c r="AO50" s="274"/>
      <c r="AP50" s="298" t="str">
        <f t="shared" si="17"/>
        <v>JNSNRDG PC</v>
      </c>
      <c r="AQ50" s="275">
        <f t="shared" si="18"/>
        <v>1.44</v>
      </c>
      <c r="AR50" s="273">
        <f t="shared" si="19"/>
        <v>3.0813999176025391</v>
      </c>
      <c r="AS50" s="276"/>
      <c r="AT50" s="298" t="str">
        <f t="shared" si="20"/>
        <v>JNSNRDG PC</v>
      </c>
      <c r="AU50" s="273">
        <f t="shared" si="21"/>
        <v>1.33</v>
      </c>
      <c r="AV50" s="273">
        <f t="shared" si="22"/>
        <v>2.9700000286102295</v>
      </c>
      <c r="AW50" s="277"/>
      <c r="AX50" s="298" t="str">
        <f t="shared" si="23"/>
        <v>JNSNRDG PC</v>
      </c>
      <c r="AY50" s="273">
        <f t="shared" si="58"/>
        <v>6</v>
      </c>
      <c r="AZ50" s="273">
        <f t="shared" si="59"/>
        <v>9.0483999252319336</v>
      </c>
      <c r="BA50" s="270"/>
      <c r="BB50" s="447"/>
      <c r="BC50" s="447"/>
      <c r="BD50" s="447"/>
      <c r="BE50" s="270"/>
      <c r="BF50" s="280"/>
      <c r="BG50" s="272" t="str">
        <f t="shared" si="26"/>
        <v>JNSNRDG PC</v>
      </c>
      <c r="BH50" s="290">
        <f t="shared" si="27"/>
        <v>0.06</v>
      </c>
      <c r="BI50" s="291">
        <f t="shared" si="41"/>
        <v>3.0534999370574951</v>
      </c>
      <c r="BJ50" s="280"/>
      <c r="BK50" s="297" t="str">
        <f t="shared" si="28"/>
        <v>JNSNRDG PC</v>
      </c>
      <c r="BL50" s="290">
        <f t="shared" si="42"/>
        <v>0</v>
      </c>
      <c r="BM50" s="290">
        <f t="shared" si="43"/>
        <v>3.0380001068115234</v>
      </c>
      <c r="BN50" s="281"/>
      <c r="BO50" s="292" t="str">
        <f t="shared" si="44"/>
        <v>JNSNRDG PC</v>
      </c>
      <c r="BP50" s="290">
        <f t="shared" si="45"/>
        <v>0</v>
      </c>
      <c r="BQ50" s="291">
        <f t="shared" si="53"/>
        <v>2.7300000190734863</v>
      </c>
      <c r="BR50" s="280"/>
      <c r="BS50" s="293" t="str">
        <f t="shared" si="46"/>
        <v>JNSNRDG PC</v>
      </c>
      <c r="BT50" s="290">
        <f t="shared" si="54"/>
        <v>0.06</v>
      </c>
      <c r="BU50" s="291">
        <f t="shared" si="55"/>
        <v>8.8215000629425049</v>
      </c>
      <c r="BV50" s="446"/>
      <c r="BW50" s="447"/>
      <c r="BX50" s="447"/>
      <c r="BY50" s="281"/>
      <c r="BZ50" s="281"/>
      <c r="CA50" s="281"/>
      <c r="CB50" s="281"/>
      <c r="CC50" s="280"/>
      <c r="CD50" s="280" t="str">
        <f t="shared" si="31"/>
        <v>JNSNRDG PC</v>
      </c>
      <c r="CE50" s="280">
        <v>46.7</v>
      </c>
      <c r="CF50" s="280">
        <f t="shared" si="47"/>
        <v>3.0100998878479004</v>
      </c>
      <c r="CG50" s="280"/>
      <c r="CH50" s="280" t="str">
        <f t="shared" si="32"/>
        <v>JNSNRDG PC</v>
      </c>
      <c r="CI50" s="280">
        <v>46.7</v>
      </c>
      <c r="CJ50" s="284">
        <f t="shared" si="33"/>
        <v>2.8980000019073486</v>
      </c>
      <c r="CK50" s="280"/>
      <c r="CL50" s="280" t="str">
        <f t="shared" si="34"/>
        <v>JNSNRDG PC</v>
      </c>
      <c r="CM50" s="280">
        <v>46.7</v>
      </c>
      <c r="CN50" s="284">
        <f t="shared" si="35"/>
        <v>2.9821999073028564</v>
      </c>
    </row>
    <row r="51" spans="1:92" ht="15" customHeight="1" x14ac:dyDescent="0.25">
      <c r="A51" s="286" t="s">
        <v>115</v>
      </c>
      <c r="B51" s="286">
        <v>2.8259999752044678</v>
      </c>
      <c r="C51" s="287">
        <v>2.9015998840332031</v>
      </c>
      <c r="D51" s="287">
        <v>2.8798999786376953</v>
      </c>
      <c r="E51" s="287">
        <v>2.7690000534057617</v>
      </c>
      <c r="F51" s="287">
        <v>2.8396000862121582</v>
      </c>
      <c r="G51" s="287">
        <v>2.7300000190734863</v>
      </c>
      <c r="H51" s="287">
        <v>2.8024001121520996</v>
      </c>
      <c r="I51" s="287">
        <v>2.7837998867034912</v>
      </c>
      <c r="J51" s="287">
        <v>2.4976000785827637</v>
      </c>
      <c r="K51" s="287">
        <v>2.7465999126434326</v>
      </c>
      <c r="L51" s="287">
        <v>2.6400001049041748</v>
      </c>
      <c r="M51" s="288">
        <v>2.7125000953674316</v>
      </c>
      <c r="N51" s="289">
        <f t="shared" si="5"/>
        <v>33.129000186920166</v>
      </c>
      <c r="O51" s="265"/>
      <c r="P51" s="266"/>
      <c r="Q51" s="266"/>
      <c r="R51" s="272" t="str">
        <f t="shared" si="6"/>
        <v>JRDG WFS D24</v>
      </c>
      <c r="S51" s="290">
        <f t="shared" si="52"/>
        <v>3.64</v>
      </c>
      <c r="T51" s="291">
        <f t="shared" si="36"/>
        <v>2.8259999752044678</v>
      </c>
      <c r="U51" s="270"/>
      <c r="V51" s="272" t="str">
        <f t="shared" si="7"/>
        <v>JRDG WFS D24</v>
      </c>
      <c r="W51" s="290">
        <f t="shared" si="37"/>
        <v>3.36</v>
      </c>
      <c r="X51" s="291">
        <f t="shared" si="8"/>
        <v>2.9015998840332031</v>
      </c>
      <c r="Y51" s="270"/>
      <c r="Z51" s="272" t="str">
        <f t="shared" si="9"/>
        <v>JRDG WFS D24</v>
      </c>
      <c r="AA51" s="290">
        <f t="shared" si="38"/>
        <v>3.27</v>
      </c>
      <c r="AB51" s="291">
        <f t="shared" si="10"/>
        <v>2.8798999786376953</v>
      </c>
      <c r="AC51" s="270"/>
      <c r="AD51" s="272" t="str">
        <f t="shared" si="11"/>
        <v>JRDG WFS D24</v>
      </c>
      <c r="AE51" s="290">
        <f t="shared" si="56"/>
        <v>10.27</v>
      </c>
      <c r="AF51" s="291">
        <f t="shared" si="57"/>
        <v>8.6074998378753662</v>
      </c>
      <c r="AG51" s="271"/>
      <c r="AH51" s="445">
        <v>9.1</v>
      </c>
      <c r="AI51" s="299"/>
      <c r="AJ51" s="299"/>
      <c r="AK51" s="271"/>
      <c r="AL51" s="272" t="str">
        <f t="shared" si="14"/>
        <v>JRDG WFS D24</v>
      </c>
      <c r="AM51" s="273">
        <f t="shared" si="15"/>
        <v>2.86</v>
      </c>
      <c r="AN51" s="273">
        <f t="shared" si="16"/>
        <v>2.7690000534057617</v>
      </c>
      <c r="AO51" s="274"/>
      <c r="AP51" s="275" t="str">
        <f t="shared" si="17"/>
        <v>JRDG WFS D24</v>
      </c>
      <c r="AQ51" s="275">
        <f t="shared" si="18"/>
        <v>3.07</v>
      </c>
      <c r="AR51" s="273">
        <f t="shared" si="19"/>
        <v>2.8396000862121582</v>
      </c>
      <c r="AS51" s="276"/>
      <c r="AT51" s="275" t="str">
        <f t="shared" si="20"/>
        <v>JRDG WFS D24</v>
      </c>
      <c r="AU51" s="273">
        <f t="shared" si="21"/>
        <v>2.92</v>
      </c>
      <c r="AV51" s="273">
        <f t="shared" si="22"/>
        <v>2.7300000190734863</v>
      </c>
      <c r="AW51" s="277"/>
      <c r="AX51" s="275" t="str">
        <f t="shared" si="23"/>
        <v>JRDG WFS D24</v>
      </c>
      <c r="AY51" s="273">
        <f t="shared" si="58"/>
        <v>8.85</v>
      </c>
      <c r="AZ51" s="273">
        <f t="shared" si="59"/>
        <v>8.3386001586914062</v>
      </c>
      <c r="BA51" s="270"/>
      <c r="BB51" s="447"/>
      <c r="BC51" s="447"/>
      <c r="BD51" s="447"/>
      <c r="BE51" s="270"/>
      <c r="BF51" s="280"/>
      <c r="BG51" s="272" t="str">
        <f t="shared" si="26"/>
        <v>JRDG WFS D24</v>
      </c>
      <c r="BH51" s="290">
        <f t="shared" si="27"/>
        <v>0.1</v>
      </c>
      <c r="BI51" s="291">
        <f t="shared" si="41"/>
        <v>2.8024001121520996</v>
      </c>
      <c r="BJ51" s="280"/>
      <c r="BK51" s="272" t="str">
        <f t="shared" si="28"/>
        <v>JRDG WFS D24</v>
      </c>
      <c r="BL51" s="290">
        <f t="shared" si="42"/>
        <v>0</v>
      </c>
      <c r="BM51" s="290">
        <f t="shared" si="43"/>
        <v>2.7837998867034912</v>
      </c>
      <c r="BN51" s="281"/>
      <c r="BO51" s="292" t="str">
        <f t="shared" si="44"/>
        <v>JRDG WFS D24</v>
      </c>
      <c r="BP51" s="290">
        <f t="shared" si="45"/>
        <v>0</v>
      </c>
      <c r="BQ51" s="291">
        <f t="shared" si="53"/>
        <v>2.4976000785827637</v>
      </c>
      <c r="BR51" s="280"/>
      <c r="BS51" s="293" t="str">
        <f t="shared" si="46"/>
        <v>JRDG WFS D24</v>
      </c>
      <c r="BT51" s="290">
        <f t="shared" si="54"/>
        <v>0.1</v>
      </c>
      <c r="BU51" s="291">
        <f t="shared" si="55"/>
        <v>8.0838000774383545</v>
      </c>
      <c r="BV51" s="446"/>
      <c r="BW51" s="447"/>
      <c r="BX51" s="447"/>
      <c r="BY51" s="281"/>
      <c r="BZ51" s="281"/>
      <c r="CA51" s="281"/>
      <c r="CB51" s="281"/>
      <c r="CC51" s="280"/>
      <c r="CD51" s="280" t="str">
        <f t="shared" si="31"/>
        <v>JRDG WFS D24</v>
      </c>
      <c r="CE51" s="280">
        <v>47.7</v>
      </c>
      <c r="CF51" s="280">
        <f t="shared" si="47"/>
        <v>2.7465999126434326</v>
      </c>
      <c r="CG51" s="280"/>
      <c r="CH51" s="280" t="str">
        <f t="shared" si="32"/>
        <v>JRDG WFS D24</v>
      </c>
      <c r="CI51" s="280">
        <v>47.7</v>
      </c>
      <c r="CJ51" s="284">
        <f t="shared" si="33"/>
        <v>2.6400001049041748</v>
      </c>
      <c r="CK51" s="280"/>
      <c r="CL51" s="280" t="str">
        <f t="shared" si="34"/>
        <v>JRDG WFS D24</v>
      </c>
      <c r="CM51" s="280">
        <v>47.7</v>
      </c>
      <c r="CN51" s="284">
        <f t="shared" si="35"/>
        <v>2.7125000953674316</v>
      </c>
    </row>
    <row r="52" spans="1:92" s="301" customFormat="1" ht="15" customHeight="1" x14ac:dyDescent="0.25">
      <c r="A52" s="286" t="s">
        <v>198</v>
      </c>
      <c r="B52" s="286">
        <v>21.753000259399414</v>
      </c>
      <c r="C52" s="287">
        <v>22.279699325561523</v>
      </c>
      <c r="D52" s="287">
        <v>22.090599060058594</v>
      </c>
      <c r="E52" s="287">
        <v>21.204000473022461</v>
      </c>
      <c r="F52" s="287">
        <v>21.737199783325195</v>
      </c>
      <c r="G52" s="287">
        <v>20.87700080871582</v>
      </c>
      <c r="H52" s="287">
        <v>21.414800643920898</v>
      </c>
      <c r="I52" s="287">
        <v>21.262899398803711</v>
      </c>
      <c r="J52" s="287">
        <v>19.073600769042969</v>
      </c>
      <c r="K52" s="287">
        <v>20.974599838256836</v>
      </c>
      <c r="L52" s="287">
        <v>20.166000366210937</v>
      </c>
      <c r="M52" s="288">
        <v>20.701799392700195</v>
      </c>
      <c r="N52" s="289">
        <f t="shared" si="5"/>
        <v>253.53520011901855</v>
      </c>
      <c r="O52" s="300"/>
      <c r="P52" s="266"/>
      <c r="R52" s="272" t="str">
        <f t="shared" si="6"/>
        <v>KNY FLD D24</v>
      </c>
      <c r="S52" s="290">
        <f t="shared" si="52"/>
        <v>29.05</v>
      </c>
      <c r="T52" s="291">
        <f t="shared" si="36"/>
        <v>21.753000259399414</v>
      </c>
      <c r="U52" s="270"/>
      <c r="V52" s="272" t="str">
        <f t="shared" si="7"/>
        <v>KNY FLD D24</v>
      </c>
      <c r="W52" s="290">
        <f t="shared" si="37"/>
        <v>29.54</v>
      </c>
      <c r="X52" s="291">
        <f t="shared" si="8"/>
        <v>22.279699325561523</v>
      </c>
      <c r="Y52" s="270"/>
      <c r="Z52" s="272" t="str">
        <f t="shared" si="9"/>
        <v>KNY FLD D24</v>
      </c>
      <c r="AA52" s="290">
        <f t="shared" si="38"/>
        <v>40.18</v>
      </c>
      <c r="AB52" s="291">
        <f t="shared" si="10"/>
        <v>22.090599060058594</v>
      </c>
      <c r="AC52" s="270"/>
      <c r="AD52" s="272" t="str">
        <f t="shared" si="11"/>
        <v>KNY FLD D24</v>
      </c>
      <c r="AE52" s="290">
        <f t="shared" si="56"/>
        <v>98.77000000000001</v>
      </c>
      <c r="AF52" s="291">
        <f t="shared" si="57"/>
        <v>66.123298645019531</v>
      </c>
      <c r="AG52" s="302"/>
      <c r="AH52" s="445"/>
      <c r="AI52" s="299"/>
      <c r="AJ52" s="299"/>
      <c r="AK52" s="271"/>
      <c r="AL52" s="272" t="str">
        <f t="shared" si="14"/>
        <v>KNY FLD D24</v>
      </c>
      <c r="AM52" s="273">
        <f t="shared" si="15"/>
        <v>29.15</v>
      </c>
      <c r="AN52" s="273">
        <f t="shared" si="16"/>
        <v>21.204000473022461</v>
      </c>
      <c r="AO52" s="274"/>
      <c r="AP52" s="275" t="str">
        <f t="shared" si="17"/>
        <v>KNY FLD D24</v>
      </c>
      <c r="AQ52" s="275">
        <f t="shared" si="18"/>
        <v>30.25</v>
      </c>
      <c r="AR52" s="273">
        <f t="shared" si="19"/>
        <v>21.737199783325195</v>
      </c>
      <c r="AS52" s="276"/>
      <c r="AT52" s="275" t="str">
        <f t="shared" si="20"/>
        <v>KNY FLD D24</v>
      </c>
      <c r="AU52" s="273">
        <f t="shared" si="21"/>
        <v>24.55</v>
      </c>
      <c r="AV52" s="273">
        <f t="shared" si="22"/>
        <v>20.87700080871582</v>
      </c>
      <c r="AW52" s="277"/>
      <c r="AX52" s="275" t="str">
        <f t="shared" si="23"/>
        <v>KNY FLD D24</v>
      </c>
      <c r="AY52" s="273">
        <f t="shared" si="58"/>
        <v>83.95</v>
      </c>
      <c r="AZ52" s="273">
        <f t="shared" si="59"/>
        <v>63.818201065063477</v>
      </c>
      <c r="BA52" s="270"/>
      <c r="BB52" s="447"/>
      <c r="BC52" s="447"/>
      <c r="BD52" s="447"/>
      <c r="BE52" s="270"/>
      <c r="BF52" s="280"/>
      <c r="BG52" s="272" t="str">
        <f t="shared" si="26"/>
        <v>KNY FLD D24</v>
      </c>
      <c r="BH52" s="290">
        <f t="shared" si="27"/>
        <v>26.37</v>
      </c>
      <c r="BI52" s="291">
        <f t="shared" si="41"/>
        <v>21.414800643920898</v>
      </c>
      <c r="BJ52" s="280"/>
      <c r="BK52" s="272" t="str">
        <f t="shared" si="28"/>
        <v>KNY FLD D24</v>
      </c>
      <c r="BL52" s="290">
        <f t="shared" si="42"/>
        <v>21.25</v>
      </c>
      <c r="BM52" s="290">
        <f t="shared" si="43"/>
        <v>21.262899398803711</v>
      </c>
      <c r="BN52" s="281"/>
      <c r="BO52" s="292" t="str">
        <f t="shared" si="44"/>
        <v>KNY FLD D24</v>
      </c>
      <c r="BP52" s="290">
        <f t="shared" si="45"/>
        <v>19.940000000000001</v>
      </c>
      <c r="BQ52" s="291">
        <f t="shared" si="53"/>
        <v>19.073600769042969</v>
      </c>
      <c r="BR52" s="280"/>
      <c r="BS52" s="293" t="str">
        <f t="shared" si="46"/>
        <v>KNY FLD D24</v>
      </c>
      <c r="BT52" s="290">
        <f t="shared" si="54"/>
        <v>67.56</v>
      </c>
      <c r="BU52" s="291">
        <f t="shared" si="55"/>
        <v>61.751300811767578</v>
      </c>
      <c r="BV52" s="446"/>
      <c r="BW52" s="447"/>
      <c r="BX52" s="447"/>
      <c r="BY52" s="281"/>
      <c r="BZ52" s="281"/>
      <c r="CA52" s="281"/>
      <c r="CB52" s="281"/>
      <c r="CC52" s="280"/>
      <c r="CD52" s="280" t="str">
        <f t="shared" si="31"/>
        <v>KNY FLD D24</v>
      </c>
      <c r="CE52" s="280">
        <v>48.7</v>
      </c>
      <c r="CF52" s="280">
        <f t="shared" si="47"/>
        <v>20.974599838256836</v>
      </c>
      <c r="CG52" s="280"/>
      <c r="CH52" s="280" t="str">
        <f t="shared" si="32"/>
        <v>KNY FLD D24</v>
      </c>
      <c r="CI52" s="280">
        <v>48.7</v>
      </c>
      <c r="CJ52" s="284">
        <f t="shared" si="33"/>
        <v>20.166000366210937</v>
      </c>
      <c r="CK52" s="280"/>
      <c r="CL52" s="280" t="str">
        <f t="shared" si="34"/>
        <v>KNY FLD D24</v>
      </c>
      <c r="CM52" s="280">
        <v>48.7</v>
      </c>
      <c r="CN52" s="284">
        <f t="shared" si="35"/>
        <v>20.701799392700195</v>
      </c>
    </row>
    <row r="53" spans="1:92" ht="15" customHeight="1" x14ac:dyDescent="0.25">
      <c r="A53" s="286" t="s">
        <v>116</v>
      </c>
      <c r="B53" s="286">
        <v>5.6129999160766602</v>
      </c>
      <c r="C53" s="287">
        <v>5.7659997940063477</v>
      </c>
      <c r="D53" s="287">
        <v>5.7350001335144043</v>
      </c>
      <c r="E53" s="287">
        <v>5.5170001983642578</v>
      </c>
      <c r="F53" s="287">
        <v>5.6698999404907227</v>
      </c>
      <c r="G53" s="287">
        <v>5.4569997787475586</v>
      </c>
      <c r="H53" s="287">
        <v>5.6079001426696777</v>
      </c>
      <c r="I53" s="287">
        <v>5.5738000869750977</v>
      </c>
      <c r="J53" s="287">
        <v>5.0092000961303711</v>
      </c>
      <c r="K53" s="287">
        <v>5.5117998123168945</v>
      </c>
      <c r="L53" s="287">
        <v>5.3070001602172852</v>
      </c>
      <c r="M53" s="288">
        <v>5.4528999328613281</v>
      </c>
      <c r="N53" s="289">
        <f t="shared" si="5"/>
        <v>66.220499992370605</v>
      </c>
      <c r="O53" s="265"/>
      <c r="P53" s="266"/>
      <c r="R53" s="272" t="str">
        <f t="shared" si="6"/>
        <v>KNY FLD PC</v>
      </c>
      <c r="S53" s="290">
        <f t="shared" si="52"/>
        <v>5.08</v>
      </c>
      <c r="T53" s="291">
        <f t="shared" si="36"/>
        <v>5.6129999160766602</v>
      </c>
      <c r="U53" s="270"/>
      <c r="V53" s="272" t="str">
        <f t="shared" si="7"/>
        <v>KNY FLD PC</v>
      </c>
      <c r="W53" s="290">
        <f t="shared" si="37"/>
        <v>5.05</v>
      </c>
      <c r="X53" s="291">
        <f t="shared" si="8"/>
        <v>5.7659997940063477</v>
      </c>
      <c r="Y53" s="270"/>
      <c r="Z53" s="272" t="str">
        <f t="shared" si="9"/>
        <v>KNY FLD PC</v>
      </c>
      <c r="AA53" s="290">
        <f t="shared" si="38"/>
        <v>3.93</v>
      </c>
      <c r="AB53" s="291">
        <f t="shared" si="10"/>
        <v>5.7350001335144043</v>
      </c>
      <c r="AC53" s="270"/>
      <c r="AD53" s="272" t="str">
        <f t="shared" si="11"/>
        <v>KNY FLD PC</v>
      </c>
      <c r="AE53" s="290">
        <f t="shared" si="56"/>
        <v>14.059999999999999</v>
      </c>
      <c r="AF53" s="291">
        <f t="shared" si="57"/>
        <v>17.113999843597412</v>
      </c>
      <c r="AG53" s="271"/>
      <c r="AH53" s="299"/>
      <c r="AI53" s="299"/>
      <c r="AJ53" s="299"/>
      <c r="AK53" s="271"/>
      <c r="AL53" s="272" t="str">
        <f t="shared" si="14"/>
        <v>KNY FLD PC</v>
      </c>
      <c r="AM53" s="273">
        <f t="shared" si="15"/>
        <v>4.5199999999999996</v>
      </c>
      <c r="AN53" s="273">
        <f t="shared" si="16"/>
        <v>5.5170001983642578</v>
      </c>
      <c r="AO53" s="274"/>
      <c r="AP53" s="275" t="str">
        <f t="shared" si="17"/>
        <v>KNY FLD PC</v>
      </c>
      <c r="AQ53" s="275">
        <f t="shared" si="18"/>
        <v>5.95</v>
      </c>
      <c r="AR53" s="273">
        <f t="shared" si="19"/>
        <v>5.6698999404907227</v>
      </c>
      <c r="AS53" s="276"/>
      <c r="AT53" s="275" t="str">
        <f t="shared" si="20"/>
        <v>KNY FLD PC</v>
      </c>
      <c r="AU53" s="273">
        <f t="shared" si="21"/>
        <v>4.8600000000000003</v>
      </c>
      <c r="AV53" s="273">
        <f t="shared" si="22"/>
        <v>5.4569997787475586</v>
      </c>
      <c r="AW53" s="277"/>
      <c r="AX53" s="275" t="str">
        <f t="shared" si="23"/>
        <v>KNY FLD PC</v>
      </c>
      <c r="AY53" s="273">
        <f t="shared" si="58"/>
        <v>15.329999999999998</v>
      </c>
      <c r="AZ53" s="273">
        <f t="shared" si="59"/>
        <v>16.643899917602539</v>
      </c>
      <c r="BA53" s="270"/>
      <c r="BB53" s="447"/>
      <c r="BC53" s="447"/>
      <c r="BD53" s="447"/>
      <c r="BE53" s="270"/>
      <c r="BF53" s="280"/>
      <c r="BG53" s="272" t="str">
        <f t="shared" si="26"/>
        <v>KNY FLD PC</v>
      </c>
      <c r="BH53" s="290">
        <f t="shared" si="27"/>
        <v>4.91</v>
      </c>
      <c r="BI53" s="291">
        <f t="shared" si="41"/>
        <v>5.6079001426696777</v>
      </c>
      <c r="BJ53" s="280"/>
      <c r="BK53" s="272" t="str">
        <f t="shared" si="28"/>
        <v>KNY FLD PC</v>
      </c>
      <c r="BL53" s="290">
        <f t="shared" si="42"/>
        <v>5.1100000000000003</v>
      </c>
      <c r="BM53" s="290">
        <f t="shared" si="43"/>
        <v>5.5738000869750977</v>
      </c>
      <c r="BN53" s="281"/>
      <c r="BO53" s="292" t="str">
        <f t="shared" si="44"/>
        <v>KNY FLD PC</v>
      </c>
      <c r="BP53" s="290">
        <f t="shared" si="45"/>
        <v>4.33</v>
      </c>
      <c r="BQ53" s="291">
        <f t="shared" si="53"/>
        <v>5.0092000961303711</v>
      </c>
      <c r="BR53" s="280"/>
      <c r="BS53" s="293" t="str">
        <f t="shared" si="46"/>
        <v>KNY FLD PC</v>
      </c>
      <c r="BT53" s="290">
        <f t="shared" si="54"/>
        <v>14.35</v>
      </c>
      <c r="BU53" s="291">
        <f t="shared" si="55"/>
        <v>16.190900325775146</v>
      </c>
      <c r="BV53" s="446"/>
      <c r="BW53" s="447"/>
      <c r="BX53" s="447"/>
      <c r="BY53" s="281"/>
      <c r="BZ53" s="281"/>
      <c r="CA53" s="281"/>
      <c r="CB53" s="281"/>
      <c r="CC53" s="280"/>
      <c r="CD53" s="280" t="str">
        <f t="shared" si="31"/>
        <v>KNY FLD PC</v>
      </c>
      <c r="CE53" s="280">
        <v>49.7</v>
      </c>
      <c r="CF53" s="280">
        <f t="shared" si="47"/>
        <v>5.5117998123168945</v>
      </c>
      <c r="CG53" s="280"/>
      <c r="CH53" s="280" t="str">
        <f t="shared" si="32"/>
        <v>KNY FLD PC</v>
      </c>
      <c r="CI53" s="280">
        <v>49.7</v>
      </c>
      <c r="CJ53" s="284">
        <f t="shared" si="33"/>
        <v>5.3070001602172852</v>
      </c>
      <c r="CK53" s="280"/>
      <c r="CL53" s="280" t="str">
        <f t="shared" si="34"/>
        <v>KNY FLD PC</v>
      </c>
      <c r="CM53" s="280">
        <v>49.7</v>
      </c>
      <c r="CN53" s="284">
        <f t="shared" si="35"/>
        <v>5.4528999328613281</v>
      </c>
    </row>
    <row r="54" spans="1:92" ht="15" customHeight="1" x14ac:dyDescent="0.25">
      <c r="A54" s="286" t="s">
        <v>117</v>
      </c>
      <c r="B54" s="286">
        <v>1.218000054359436</v>
      </c>
      <c r="C54" s="287">
        <v>1.2493000030517578</v>
      </c>
      <c r="D54" s="287">
        <v>1.2400000095367432</v>
      </c>
      <c r="E54" s="287">
        <v>1.1909999847412109</v>
      </c>
      <c r="F54" s="287">
        <v>1.2214000225067139</v>
      </c>
      <c r="G54" s="287">
        <v>1.1729999780654907</v>
      </c>
      <c r="H54" s="287">
        <v>1.2028000354766846</v>
      </c>
      <c r="I54" s="287">
        <v>1.1935000419616699</v>
      </c>
      <c r="J54" s="287">
        <v>1.0723999738693237</v>
      </c>
      <c r="K54" s="287">
        <v>1.1779999732971191</v>
      </c>
      <c r="L54" s="287">
        <v>1.1310000419616699</v>
      </c>
      <c r="M54" s="288">
        <v>1.1593999862670898</v>
      </c>
      <c r="N54" s="289">
        <f t="shared" si="5"/>
        <v>14.22980010509491</v>
      </c>
      <c r="O54" s="303"/>
      <c r="P54" s="266"/>
      <c r="R54" s="272" t="str">
        <f t="shared" si="6"/>
        <v>LEUCITE D24</v>
      </c>
      <c r="S54" s="290">
        <f t="shared" si="52"/>
        <v>1.64</v>
      </c>
      <c r="T54" s="291">
        <f t="shared" si="36"/>
        <v>1.218000054359436</v>
      </c>
      <c r="U54" s="270"/>
      <c r="V54" s="272" t="str">
        <f t="shared" si="7"/>
        <v>LEUCITE D24</v>
      </c>
      <c r="W54" s="290">
        <f t="shared" si="37"/>
        <v>1.68</v>
      </c>
      <c r="X54" s="291">
        <f t="shared" si="8"/>
        <v>1.2493000030517578</v>
      </c>
      <c r="Y54" s="270"/>
      <c r="Z54" s="272" t="str">
        <f t="shared" si="9"/>
        <v>LEUCITE D24</v>
      </c>
      <c r="AA54" s="290">
        <f t="shared" si="38"/>
        <v>2.2599999999999998</v>
      </c>
      <c r="AB54" s="291">
        <f t="shared" si="10"/>
        <v>1.2400000095367432</v>
      </c>
      <c r="AC54" s="270"/>
      <c r="AD54" s="272" t="str">
        <f t="shared" si="11"/>
        <v>LEUCITE D24</v>
      </c>
      <c r="AE54" s="290">
        <f t="shared" si="56"/>
        <v>5.58</v>
      </c>
      <c r="AF54" s="291">
        <f t="shared" si="57"/>
        <v>3.707300066947937</v>
      </c>
      <c r="AG54" s="271"/>
      <c r="AH54" s="299"/>
      <c r="AI54" s="299"/>
      <c r="AJ54" s="299"/>
      <c r="AK54" s="271"/>
      <c r="AL54" s="272" t="str">
        <f t="shared" si="14"/>
        <v>LEUCITE D24</v>
      </c>
      <c r="AM54" s="273">
        <f t="shared" si="15"/>
        <v>2.76</v>
      </c>
      <c r="AN54" s="273">
        <f t="shared" si="16"/>
        <v>1.1909999847412109</v>
      </c>
      <c r="AO54" s="274"/>
      <c r="AP54" s="275" t="str">
        <f t="shared" si="17"/>
        <v>LEUCITE D24</v>
      </c>
      <c r="AQ54" s="275">
        <f t="shared" si="18"/>
        <v>2.61</v>
      </c>
      <c r="AR54" s="273">
        <f t="shared" si="19"/>
        <v>1.2214000225067139</v>
      </c>
      <c r="AS54" s="276"/>
      <c r="AT54" s="275" t="str">
        <f t="shared" si="20"/>
        <v>LEUCITE D24</v>
      </c>
      <c r="AU54" s="273">
        <f t="shared" si="21"/>
        <v>2.38</v>
      </c>
      <c r="AV54" s="273">
        <f t="shared" si="22"/>
        <v>1.1729999780654907</v>
      </c>
      <c r="AW54" s="277"/>
      <c r="AX54" s="275" t="str">
        <f t="shared" si="23"/>
        <v>LEUCITE D24</v>
      </c>
      <c r="AY54" s="273">
        <f t="shared" si="58"/>
        <v>7.7499999999999991</v>
      </c>
      <c r="AZ54" s="273">
        <f t="shared" si="59"/>
        <v>3.5853999853134155</v>
      </c>
      <c r="BA54" s="270"/>
      <c r="BB54" s="445">
        <v>9.1</v>
      </c>
      <c r="BC54" s="270"/>
      <c r="BD54" s="270"/>
      <c r="BE54" s="270"/>
      <c r="BF54" s="280"/>
      <c r="BG54" s="272" t="str">
        <f t="shared" si="26"/>
        <v>LEUCITE D24</v>
      </c>
      <c r="BH54" s="290">
        <f t="shared" si="27"/>
        <v>1.27</v>
      </c>
      <c r="BI54" s="291">
        <f t="shared" si="41"/>
        <v>1.2028000354766846</v>
      </c>
      <c r="BJ54" s="280"/>
      <c r="BK54" s="272" t="str">
        <f t="shared" si="28"/>
        <v>LEUCITE D24</v>
      </c>
      <c r="BL54" s="290">
        <f t="shared" si="42"/>
        <v>1.1399999999999999</v>
      </c>
      <c r="BM54" s="290">
        <f t="shared" si="43"/>
        <v>1.1935000419616699</v>
      </c>
      <c r="BN54" s="281"/>
      <c r="BO54" s="292" t="str">
        <f t="shared" si="44"/>
        <v>LEUCITE D24</v>
      </c>
      <c r="BP54" s="290">
        <f t="shared" si="45"/>
        <v>1.65</v>
      </c>
      <c r="BQ54" s="291">
        <f t="shared" si="53"/>
        <v>1.0723999738693237</v>
      </c>
      <c r="BR54" s="280"/>
      <c r="BS54" s="293" t="str">
        <f t="shared" si="46"/>
        <v>LEUCITE D24</v>
      </c>
      <c r="BT54" s="290">
        <f t="shared" si="54"/>
        <v>4.0600000000000005</v>
      </c>
      <c r="BU54" s="291">
        <f t="shared" si="55"/>
        <v>3.4687000513076782</v>
      </c>
      <c r="BV54" s="281"/>
      <c r="BW54" s="445">
        <v>9.1</v>
      </c>
      <c r="BX54" s="281"/>
      <c r="BY54" s="281"/>
      <c r="BZ54" s="281"/>
      <c r="CA54" s="281"/>
      <c r="CB54" s="281"/>
      <c r="CC54" s="280"/>
      <c r="CD54" s="280" t="str">
        <f t="shared" si="31"/>
        <v>LEUCITE D24</v>
      </c>
      <c r="CE54" s="280">
        <v>50.7</v>
      </c>
      <c r="CF54" s="280">
        <f t="shared" si="47"/>
        <v>1.1779999732971191</v>
      </c>
      <c r="CG54" s="280"/>
      <c r="CH54" s="280" t="str">
        <f t="shared" si="32"/>
        <v>LEUCITE D24</v>
      </c>
      <c r="CI54" s="280">
        <v>50.7</v>
      </c>
      <c r="CJ54" s="284">
        <f t="shared" si="33"/>
        <v>1.1310000419616699</v>
      </c>
      <c r="CK54" s="280"/>
      <c r="CL54" s="280" t="str">
        <f t="shared" si="34"/>
        <v>LEUCITE D24</v>
      </c>
      <c r="CM54" s="280">
        <v>50.7</v>
      </c>
      <c r="CN54" s="284">
        <f t="shared" si="35"/>
        <v>1.1593999862670898</v>
      </c>
    </row>
    <row r="55" spans="1:92" ht="15" customHeight="1" x14ac:dyDescent="0.25">
      <c r="A55" s="286" t="s">
        <v>51</v>
      </c>
      <c r="B55" s="286">
        <v>1.4670000076293945</v>
      </c>
      <c r="C55" s="287">
        <v>1.5096999406814575</v>
      </c>
      <c r="D55" s="287">
        <v>1.506600022315979</v>
      </c>
      <c r="E55" s="287">
        <v>1.4550000429153442</v>
      </c>
      <c r="F55" s="287">
        <v>1.4973000288009644</v>
      </c>
      <c r="G55" s="287">
        <v>1.4459999799728394</v>
      </c>
      <c r="H55" s="287">
        <v>1.4880000352859497</v>
      </c>
      <c r="I55" s="287">
        <v>1.4848999977111816</v>
      </c>
      <c r="J55" s="287">
        <v>1.3356000185012817</v>
      </c>
      <c r="K55" s="287">
        <v>1.475600004196167</v>
      </c>
      <c r="L55" s="287">
        <v>1.4220000505447388</v>
      </c>
      <c r="M55" s="288">
        <v>1.4663000106811523</v>
      </c>
      <c r="N55" s="289">
        <f t="shared" si="5"/>
        <v>17.55400013923645</v>
      </c>
      <c r="O55" s="265"/>
      <c r="R55" s="272" t="str">
        <f t="shared" si="6"/>
        <v>LEUCITE PC</v>
      </c>
      <c r="S55" s="290">
        <f t="shared" si="52"/>
        <v>3.99</v>
      </c>
      <c r="T55" s="291">
        <f t="shared" si="36"/>
        <v>1.4670000076293945</v>
      </c>
      <c r="U55" s="270"/>
      <c r="V55" s="272" t="str">
        <f t="shared" si="7"/>
        <v>LEUCITE PC</v>
      </c>
      <c r="W55" s="290">
        <f t="shared" si="37"/>
        <v>5.53</v>
      </c>
      <c r="X55" s="291">
        <f t="shared" si="8"/>
        <v>1.5096999406814575</v>
      </c>
      <c r="Y55" s="270"/>
      <c r="Z55" s="272" t="str">
        <f t="shared" si="9"/>
        <v>LEUCITE PC</v>
      </c>
      <c r="AA55" s="290">
        <f t="shared" si="38"/>
        <v>2.82</v>
      </c>
      <c r="AB55" s="291">
        <f t="shared" si="10"/>
        <v>1.506600022315979</v>
      </c>
      <c r="AC55" s="270"/>
      <c r="AD55" s="272" t="str">
        <f t="shared" si="11"/>
        <v>LEUCITE PC</v>
      </c>
      <c r="AE55" s="290">
        <f t="shared" si="56"/>
        <v>12.34</v>
      </c>
      <c r="AF55" s="291">
        <f t="shared" si="57"/>
        <v>4.4832999706268311</v>
      </c>
      <c r="AG55" s="271"/>
      <c r="AH55" s="299"/>
      <c r="AI55" s="299"/>
      <c r="AJ55" s="299"/>
      <c r="AK55" s="271"/>
      <c r="AL55" s="272" t="str">
        <f t="shared" si="14"/>
        <v>LEUCITE PC</v>
      </c>
      <c r="AM55" s="273">
        <f t="shared" si="15"/>
        <v>2.54</v>
      </c>
      <c r="AN55" s="273">
        <f t="shared" si="16"/>
        <v>1.4550000429153442</v>
      </c>
      <c r="AO55" s="274"/>
      <c r="AP55" s="275" t="str">
        <f t="shared" si="17"/>
        <v>LEUCITE PC</v>
      </c>
      <c r="AQ55" s="275">
        <f t="shared" si="18"/>
        <v>2.1800000000000002</v>
      </c>
      <c r="AR55" s="273">
        <f t="shared" si="19"/>
        <v>1.4973000288009644</v>
      </c>
      <c r="AS55" s="276"/>
      <c r="AT55" s="275" t="str">
        <f t="shared" si="20"/>
        <v>LEUCITE PC</v>
      </c>
      <c r="AU55" s="273">
        <f t="shared" si="21"/>
        <v>2.5099999999999998</v>
      </c>
      <c r="AV55" s="273">
        <f t="shared" si="22"/>
        <v>1.4459999799728394</v>
      </c>
      <c r="AW55" s="277"/>
      <c r="AX55" s="275" t="str">
        <f t="shared" si="23"/>
        <v>LEUCITE PC</v>
      </c>
      <c r="AY55" s="273">
        <f t="shared" si="58"/>
        <v>7.23</v>
      </c>
      <c r="AZ55" s="273">
        <f t="shared" si="59"/>
        <v>4.3983000516891479</v>
      </c>
      <c r="BA55" s="270"/>
      <c r="BB55" s="445"/>
      <c r="BC55" s="270"/>
      <c r="BD55" s="270"/>
      <c r="BE55" s="270"/>
      <c r="BF55" s="280"/>
      <c r="BG55" s="272" t="str">
        <f t="shared" si="26"/>
        <v>LEUCITE PC</v>
      </c>
      <c r="BH55" s="290">
        <f t="shared" si="27"/>
        <v>4.2</v>
      </c>
      <c r="BI55" s="291">
        <f t="shared" si="41"/>
        <v>1.4880000352859497</v>
      </c>
      <c r="BJ55" s="280"/>
      <c r="BK55" s="272" t="str">
        <f t="shared" si="28"/>
        <v>LEUCITE PC</v>
      </c>
      <c r="BL55" s="290">
        <f>IFERROR(VLOOKUP($BK55,$BK$111:$BL$195,2,FALSE),0)</f>
        <v>1.62</v>
      </c>
      <c r="BM55" s="290">
        <f t="shared" si="43"/>
        <v>1.4848999977111816</v>
      </c>
      <c r="BN55" s="281"/>
      <c r="BO55" s="292" t="str">
        <f t="shared" si="44"/>
        <v>LEUCITE PC</v>
      </c>
      <c r="BP55" s="290">
        <f t="shared" si="45"/>
        <v>3.56</v>
      </c>
      <c r="BQ55" s="291">
        <f t="shared" si="53"/>
        <v>1.3356000185012817</v>
      </c>
      <c r="BR55" s="280"/>
      <c r="BS55" s="293" t="str">
        <f t="shared" si="46"/>
        <v>LEUCITE PC</v>
      </c>
      <c r="BT55" s="290">
        <f t="shared" si="54"/>
        <v>9.3800000000000008</v>
      </c>
      <c r="BU55" s="291">
        <f t="shared" si="55"/>
        <v>4.3085000514984131</v>
      </c>
      <c r="BV55" s="281"/>
      <c r="BW55" s="445"/>
      <c r="BX55" s="281"/>
      <c r="BY55" s="281"/>
      <c r="BZ55" s="281"/>
      <c r="CA55" s="281"/>
      <c r="CB55" s="281"/>
      <c r="CC55" s="280"/>
      <c r="CD55" s="280" t="str">
        <f t="shared" si="31"/>
        <v>LEUCITE PC</v>
      </c>
      <c r="CE55" s="280">
        <v>51.7</v>
      </c>
      <c r="CF55" s="280">
        <f t="shared" si="47"/>
        <v>1.475600004196167</v>
      </c>
      <c r="CG55" s="280"/>
      <c r="CH55" s="280" t="str">
        <f t="shared" si="32"/>
        <v>LEUCITE PC</v>
      </c>
      <c r="CI55" s="280">
        <v>51.7</v>
      </c>
      <c r="CJ55" s="284">
        <f t="shared" si="33"/>
        <v>1.4220000505447388</v>
      </c>
      <c r="CK55" s="280"/>
      <c r="CL55" s="280" t="str">
        <f t="shared" si="34"/>
        <v>LEUCITE PC</v>
      </c>
      <c r="CM55" s="280">
        <v>51.7</v>
      </c>
      <c r="CN55" s="284">
        <f t="shared" si="35"/>
        <v>1.4663000106811523</v>
      </c>
    </row>
    <row r="56" spans="1:92" ht="15" customHeight="1" x14ac:dyDescent="0.25">
      <c r="A56" s="286" t="s">
        <v>118</v>
      </c>
      <c r="B56" s="286">
        <v>0.87099999189376831</v>
      </c>
      <c r="C56" s="287">
        <v>0.90520000457763672</v>
      </c>
      <c r="D56" s="287">
        <v>0.89899998903274536</v>
      </c>
      <c r="E56" s="287">
        <v>0.86699998378753662</v>
      </c>
      <c r="F56" s="287">
        <v>0.88969999551773071</v>
      </c>
      <c r="G56" s="287">
        <v>0.85799998044967651</v>
      </c>
      <c r="H56" s="287">
        <v>0.88349997997283936</v>
      </c>
      <c r="I56" s="287">
        <v>0.87730002403259277</v>
      </c>
      <c r="J56" s="287">
        <v>0.78680002689361572</v>
      </c>
      <c r="K56" s="287">
        <v>0.86799997091293335</v>
      </c>
      <c r="L56" s="287">
        <v>0.83700001239776611</v>
      </c>
      <c r="M56" s="288">
        <v>0.8586999773979187</v>
      </c>
      <c r="N56" s="289">
        <f t="shared" si="5"/>
        <v>10.40119993686676</v>
      </c>
      <c r="O56" s="265"/>
      <c r="R56" s="272" t="str">
        <f t="shared" si="6"/>
        <v>MDBXCOMP PC</v>
      </c>
      <c r="S56" s="290">
        <f t="shared" si="52"/>
        <v>0.51</v>
      </c>
      <c r="T56" s="291">
        <f t="shared" si="36"/>
        <v>0.87099999189376831</v>
      </c>
      <c r="U56" s="270"/>
      <c r="V56" s="272" t="str">
        <f t="shared" si="7"/>
        <v>MDBXCOMP PC</v>
      </c>
      <c r="W56" s="290">
        <f t="shared" si="37"/>
        <v>0.61</v>
      </c>
      <c r="X56" s="291">
        <f t="shared" si="8"/>
        <v>0.90520000457763672</v>
      </c>
      <c r="Y56" s="270"/>
      <c r="Z56" s="272" t="str">
        <f t="shared" si="9"/>
        <v>MDBXCOMP PC</v>
      </c>
      <c r="AA56" s="290">
        <f t="shared" si="38"/>
        <v>0.06</v>
      </c>
      <c r="AB56" s="291">
        <f t="shared" si="10"/>
        <v>0.89899998903274536</v>
      </c>
      <c r="AC56" s="270"/>
      <c r="AD56" s="272" t="str">
        <f t="shared" si="11"/>
        <v>MDBXCOMP PC</v>
      </c>
      <c r="AE56" s="290">
        <f t="shared" si="56"/>
        <v>1.1800000000000002</v>
      </c>
      <c r="AF56" s="291">
        <f t="shared" si="57"/>
        <v>2.6751999855041504</v>
      </c>
      <c r="AG56" s="271"/>
      <c r="AH56" s="271"/>
      <c r="AI56" s="271"/>
      <c r="AJ56" s="271"/>
      <c r="AK56" s="271"/>
      <c r="AL56" s="297" t="str">
        <f t="shared" si="14"/>
        <v>MDBXCOMP PC</v>
      </c>
      <c r="AM56" s="273">
        <f t="shared" si="15"/>
        <v>0.39</v>
      </c>
      <c r="AN56" s="273">
        <f t="shared" si="16"/>
        <v>0.86699998378753662</v>
      </c>
      <c r="AO56" s="274"/>
      <c r="AP56" s="298" t="str">
        <f t="shared" si="17"/>
        <v>MDBXCOMP PC</v>
      </c>
      <c r="AQ56" s="275">
        <f t="shared" si="18"/>
        <v>0.67</v>
      </c>
      <c r="AR56" s="273">
        <f t="shared" si="19"/>
        <v>0.88969999551773071</v>
      </c>
      <c r="AS56" s="276"/>
      <c r="AT56" s="298" t="str">
        <f t="shared" si="20"/>
        <v>MDBXCOMP PC</v>
      </c>
      <c r="AU56" s="273">
        <f t="shared" si="21"/>
        <v>0.51</v>
      </c>
      <c r="AV56" s="273">
        <f t="shared" si="22"/>
        <v>0.85799998044967651</v>
      </c>
      <c r="AW56" s="277"/>
      <c r="AX56" s="298" t="str">
        <f t="shared" si="23"/>
        <v>MDBXCOMP PC</v>
      </c>
      <c r="AY56" s="273">
        <f t="shared" si="58"/>
        <v>1.57</v>
      </c>
      <c r="AZ56" s="273">
        <f t="shared" si="59"/>
        <v>2.6146999597549438</v>
      </c>
      <c r="BA56" s="270"/>
      <c r="BB56" s="270"/>
      <c r="BC56" s="270"/>
      <c r="BD56" s="270"/>
      <c r="BE56" s="270"/>
      <c r="BF56" s="280"/>
      <c r="BG56" s="272" t="str">
        <f t="shared" si="26"/>
        <v>MDBXCOMP PC</v>
      </c>
      <c r="BH56" s="290">
        <f t="shared" si="27"/>
        <v>0.56999999999999995</v>
      </c>
      <c r="BI56" s="291">
        <f t="shared" si="41"/>
        <v>0.88349997997283936</v>
      </c>
      <c r="BJ56" s="280"/>
      <c r="BK56" s="297" t="str">
        <f t="shared" si="28"/>
        <v>MDBXCOMP PC</v>
      </c>
      <c r="BL56" s="290">
        <f t="shared" si="42"/>
        <v>0.7</v>
      </c>
      <c r="BM56" s="290">
        <f t="shared" si="43"/>
        <v>0.87730002403259277</v>
      </c>
      <c r="BN56" s="281"/>
      <c r="BO56" s="292" t="str">
        <f t="shared" si="44"/>
        <v>MDBXCOMP PC</v>
      </c>
      <c r="BP56" s="290">
        <f t="shared" si="45"/>
        <v>0.25</v>
      </c>
      <c r="BQ56" s="291">
        <f t="shared" si="53"/>
        <v>0.78680002689361572</v>
      </c>
      <c r="BR56" s="280"/>
      <c r="BS56" s="293" t="str">
        <f t="shared" si="46"/>
        <v>MDBXCOMP PC</v>
      </c>
      <c r="BT56" s="290">
        <f t="shared" si="54"/>
        <v>1.52</v>
      </c>
      <c r="BU56" s="291">
        <f t="shared" si="55"/>
        <v>2.5476000308990479</v>
      </c>
      <c r="BV56" s="281"/>
      <c r="BW56" s="281"/>
      <c r="BX56" s="281"/>
      <c r="BY56" s="281"/>
      <c r="BZ56" s="281"/>
      <c r="CA56" s="281"/>
      <c r="CB56" s="281"/>
      <c r="CC56" s="280"/>
      <c r="CD56" s="280" t="str">
        <f t="shared" si="31"/>
        <v>MDBXCOMP PC</v>
      </c>
      <c r="CE56" s="280">
        <v>52.7</v>
      </c>
      <c r="CF56" s="280">
        <f t="shared" si="47"/>
        <v>0.86799997091293335</v>
      </c>
      <c r="CG56" s="280"/>
      <c r="CH56" s="280" t="str">
        <f t="shared" si="32"/>
        <v>MDBXCOMP PC</v>
      </c>
      <c r="CI56" s="280">
        <v>52.7</v>
      </c>
      <c r="CJ56" s="284">
        <f t="shared" si="33"/>
        <v>0.83700001239776611</v>
      </c>
      <c r="CK56" s="280"/>
      <c r="CL56" s="280" t="str">
        <f t="shared" si="34"/>
        <v>MDBXCOMP PC</v>
      </c>
      <c r="CM56" s="280">
        <v>52.7</v>
      </c>
      <c r="CN56" s="284">
        <f t="shared" si="35"/>
        <v>0.8586999773979187</v>
      </c>
    </row>
    <row r="57" spans="1:92" ht="15" customHeight="1" x14ac:dyDescent="0.25">
      <c r="A57" s="286" t="s">
        <v>119</v>
      </c>
      <c r="B57" s="286">
        <v>1387.3470458984375</v>
      </c>
      <c r="C57" s="287">
        <v>1406.4359130859375</v>
      </c>
      <c r="D57" s="287">
        <v>1380.9228515625</v>
      </c>
      <c r="E57" s="287">
        <v>1313.0880126953125</v>
      </c>
      <c r="F57" s="287">
        <v>1334.0819091796875</v>
      </c>
      <c r="G57" s="287">
        <v>1270.125</v>
      </c>
      <c r="H57" s="287">
        <v>1291.8785400390625</v>
      </c>
      <c r="I57" s="287">
        <v>1272.2462158203125</v>
      </c>
      <c r="J57" s="287">
        <v>1132.1744384765625</v>
      </c>
      <c r="K57" s="287">
        <v>1235.4864501953125</v>
      </c>
      <c r="L57" s="287">
        <v>1178.93701171875</v>
      </c>
      <c r="M57" s="288">
        <v>1201.637451171875</v>
      </c>
      <c r="N57" s="289">
        <f t="shared" si="5"/>
        <v>15404.36083984375</v>
      </c>
      <c r="O57" s="250"/>
      <c r="R57" s="272" t="str">
        <f t="shared" si="6"/>
        <v>MESA D24</v>
      </c>
      <c r="S57" s="290">
        <f t="shared" si="52"/>
        <v>1344.82</v>
      </c>
      <c r="T57" s="291">
        <f t="shared" si="36"/>
        <v>1387.3470458984375</v>
      </c>
      <c r="U57" s="270"/>
      <c r="V57" s="272" t="str">
        <f t="shared" si="7"/>
        <v>MESA D24</v>
      </c>
      <c r="W57" s="290">
        <f t="shared" si="37"/>
        <v>1351.17</v>
      </c>
      <c r="X57" s="291">
        <f t="shared" si="8"/>
        <v>1406.4359130859375</v>
      </c>
      <c r="Y57" s="270"/>
      <c r="Z57" s="272" t="str">
        <f t="shared" si="9"/>
        <v>MESA D24</v>
      </c>
      <c r="AA57" s="290">
        <f t="shared" si="38"/>
        <v>1322.14</v>
      </c>
      <c r="AB57" s="291">
        <f t="shared" si="10"/>
        <v>1380.9228515625</v>
      </c>
      <c r="AC57" s="270"/>
      <c r="AD57" s="272" t="str">
        <f t="shared" si="11"/>
        <v>MESA D24</v>
      </c>
      <c r="AE57" s="290">
        <f t="shared" si="56"/>
        <v>4018.13</v>
      </c>
      <c r="AF57" s="291">
        <f t="shared" si="57"/>
        <v>4174.705810546875</v>
      </c>
      <c r="AG57" s="271"/>
      <c r="AH57" s="302"/>
      <c r="AI57" s="271"/>
      <c r="AJ57" s="271"/>
      <c r="AK57" s="271"/>
      <c r="AL57" s="272" t="str">
        <f t="shared" si="14"/>
        <v>MESA D24</v>
      </c>
      <c r="AM57" s="273">
        <f t="shared" si="15"/>
        <v>1269.5899999999999</v>
      </c>
      <c r="AN57" s="273">
        <f t="shared" si="16"/>
        <v>1313.0880126953125</v>
      </c>
      <c r="AO57" s="274"/>
      <c r="AP57" s="275" t="str">
        <f t="shared" si="17"/>
        <v>MESA D24</v>
      </c>
      <c r="AQ57" s="275">
        <f t="shared" si="18"/>
        <v>1254.0899999999999</v>
      </c>
      <c r="AR57" s="273">
        <f t="shared" si="19"/>
        <v>1334.0819091796875</v>
      </c>
      <c r="AS57" s="276"/>
      <c r="AT57" s="275" t="str">
        <f t="shared" si="20"/>
        <v>MESA D24</v>
      </c>
      <c r="AU57" s="273">
        <f t="shared" si="21"/>
        <v>1170.1199999999999</v>
      </c>
      <c r="AV57" s="273">
        <f t="shared" si="22"/>
        <v>1270.125</v>
      </c>
      <c r="AW57" s="277"/>
      <c r="AX57" s="275" t="str">
        <f t="shared" si="23"/>
        <v>MESA D24</v>
      </c>
      <c r="AY57" s="273">
        <f t="shared" si="58"/>
        <v>3693.7999999999997</v>
      </c>
      <c r="AZ57" s="273">
        <f t="shared" si="59"/>
        <v>3917.294921875</v>
      </c>
      <c r="BA57" s="270"/>
      <c r="BB57" s="270"/>
      <c r="BC57" s="270"/>
      <c r="BD57" s="270"/>
      <c r="BE57" s="270"/>
      <c r="BF57" s="280"/>
      <c r="BG57" s="272" t="str">
        <f t="shared" si="26"/>
        <v>MESA D24</v>
      </c>
      <c r="BH57" s="290">
        <f t="shared" si="27"/>
        <v>1179.97</v>
      </c>
      <c r="BI57" s="291">
        <f t="shared" si="41"/>
        <v>1291.8785400390625</v>
      </c>
      <c r="BJ57" s="280"/>
      <c r="BK57" s="272" t="str">
        <f t="shared" si="28"/>
        <v>MESA D24</v>
      </c>
      <c r="BL57" s="290">
        <f t="shared" si="42"/>
        <v>1134.49</v>
      </c>
      <c r="BM57" s="290">
        <f t="shared" si="43"/>
        <v>1272.2462158203125</v>
      </c>
      <c r="BN57" s="281"/>
      <c r="BO57" s="292" t="str">
        <f t="shared" si="44"/>
        <v>MESA D24</v>
      </c>
      <c r="BP57" s="290">
        <f t="shared" si="45"/>
        <v>1089.6500000000001</v>
      </c>
      <c r="BQ57" s="291">
        <f t="shared" si="53"/>
        <v>1132.1744384765625</v>
      </c>
      <c r="BR57" s="280"/>
      <c r="BS57" s="293" t="str">
        <f t="shared" si="46"/>
        <v>MESA D24</v>
      </c>
      <c r="BT57" s="290">
        <f t="shared" si="54"/>
        <v>3404.11</v>
      </c>
      <c r="BU57" s="291">
        <f t="shared" si="55"/>
        <v>3696.2991943359375</v>
      </c>
      <c r="BV57" s="281"/>
      <c r="BW57" s="281"/>
      <c r="BX57" s="281"/>
      <c r="BY57" s="281"/>
      <c r="BZ57" s="281"/>
      <c r="CA57" s="281"/>
      <c r="CB57" s="281"/>
      <c r="CC57" s="280"/>
      <c r="CD57" s="280" t="str">
        <f t="shared" si="31"/>
        <v>MESA D24</v>
      </c>
      <c r="CE57" s="280">
        <v>53.7</v>
      </c>
      <c r="CF57" s="280">
        <f t="shared" si="47"/>
        <v>1235.4864501953125</v>
      </c>
      <c r="CG57" s="280"/>
      <c r="CH57" s="280" t="str">
        <f t="shared" si="32"/>
        <v>MESA D24</v>
      </c>
      <c r="CI57" s="280">
        <v>53.7</v>
      </c>
      <c r="CJ57" s="284">
        <f t="shared" si="33"/>
        <v>1178.93701171875</v>
      </c>
      <c r="CK57" s="280"/>
      <c r="CL57" s="280" t="str">
        <f t="shared" si="34"/>
        <v>MESA D24</v>
      </c>
      <c r="CM57" s="280">
        <v>53.7</v>
      </c>
      <c r="CN57" s="284">
        <f t="shared" si="35"/>
        <v>1201.637451171875</v>
      </c>
    </row>
    <row r="58" spans="1:92" ht="15" customHeight="1" x14ac:dyDescent="0.25">
      <c r="A58" s="286" t="s">
        <v>120</v>
      </c>
      <c r="B58" s="286">
        <v>0.29699999094009399</v>
      </c>
      <c r="C58" s="287">
        <v>0.30379998683929443</v>
      </c>
      <c r="D58" s="287">
        <v>0.30379998683929443</v>
      </c>
      <c r="E58" s="287">
        <v>0.29399999976158142</v>
      </c>
      <c r="F58" s="287">
        <v>0.30070000886917114</v>
      </c>
      <c r="G58" s="287">
        <v>0.29100000858306885</v>
      </c>
      <c r="H58" s="287">
        <v>0.29760000109672546</v>
      </c>
      <c r="I58" s="287">
        <v>0.29760000109672546</v>
      </c>
      <c r="J58" s="287">
        <v>0.26879999041557312</v>
      </c>
      <c r="K58" s="287">
        <v>0.29449999332427979</v>
      </c>
      <c r="L58" s="287">
        <v>0.28499999642372131</v>
      </c>
      <c r="M58" s="288">
        <v>0.29139998555183411</v>
      </c>
      <c r="N58" s="289">
        <f t="shared" si="5"/>
        <v>3.5251999497413635</v>
      </c>
      <c r="O58" s="304"/>
      <c r="R58" s="272" t="str">
        <f t="shared" si="6"/>
        <v>MOSU PW</v>
      </c>
      <c r="S58" s="290">
        <f t="shared" si="52"/>
        <v>0.26</v>
      </c>
      <c r="T58" s="291">
        <f t="shared" si="36"/>
        <v>0.29699999094009399</v>
      </c>
      <c r="U58" s="270"/>
      <c r="V58" s="272" t="str">
        <f t="shared" si="7"/>
        <v>MOSU PW</v>
      </c>
      <c r="W58" s="290">
        <f t="shared" si="37"/>
        <v>0.56999999999999995</v>
      </c>
      <c r="X58" s="291">
        <f t="shared" si="8"/>
        <v>0.30379998683929443</v>
      </c>
      <c r="Y58" s="270"/>
      <c r="Z58" s="272" t="str">
        <f t="shared" si="9"/>
        <v>MOSU PW</v>
      </c>
      <c r="AA58" s="290">
        <f t="shared" si="38"/>
        <v>1.17</v>
      </c>
      <c r="AB58" s="291">
        <f t="shared" si="10"/>
        <v>0.30379998683929443</v>
      </c>
      <c r="AC58" s="270"/>
      <c r="AD58" s="272" t="str">
        <f t="shared" si="11"/>
        <v>MOSU PW</v>
      </c>
      <c r="AE58" s="290">
        <f t="shared" si="56"/>
        <v>2</v>
      </c>
      <c r="AF58" s="291">
        <f t="shared" si="57"/>
        <v>0.90459996461868286</v>
      </c>
      <c r="AG58" s="271"/>
      <c r="AH58" s="271"/>
      <c r="AI58" s="271"/>
      <c r="AJ58" s="271"/>
      <c r="AK58" s="271"/>
      <c r="AL58" s="272" t="str">
        <f t="shared" si="14"/>
        <v>MOSU PW</v>
      </c>
      <c r="AM58" s="273">
        <f t="shared" si="15"/>
        <v>1.1100000000000001</v>
      </c>
      <c r="AN58" s="273">
        <f t="shared" si="16"/>
        <v>0.29399999976158142</v>
      </c>
      <c r="AO58" s="274"/>
      <c r="AP58" s="275" t="str">
        <f t="shared" si="17"/>
        <v>MOSU PW</v>
      </c>
      <c r="AQ58" s="275">
        <f t="shared" si="18"/>
        <v>0.92</v>
      </c>
      <c r="AR58" s="273">
        <f t="shared" si="19"/>
        <v>0.30070000886917114</v>
      </c>
      <c r="AS58" s="276"/>
      <c r="AT58" s="275" t="str">
        <f t="shared" si="20"/>
        <v>MOSU PW</v>
      </c>
      <c r="AU58" s="273">
        <f t="shared" si="21"/>
        <v>0.86</v>
      </c>
      <c r="AV58" s="273">
        <f t="shared" si="22"/>
        <v>0.29100000858306885</v>
      </c>
      <c r="AW58" s="277"/>
      <c r="AX58" s="275" t="str">
        <f t="shared" si="23"/>
        <v>MOSU PW</v>
      </c>
      <c r="AY58" s="273">
        <f t="shared" si="58"/>
        <v>2.89</v>
      </c>
      <c r="AZ58" s="273">
        <f t="shared" si="59"/>
        <v>0.88570001721382141</v>
      </c>
      <c r="BA58" s="270"/>
      <c r="BB58" s="270"/>
      <c r="BC58" s="270"/>
      <c r="BD58" s="270"/>
      <c r="BE58" s="270"/>
      <c r="BF58" s="280"/>
      <c r="BG58" s="272" t="str">
        <f t="shared" si="26"/>
        <v>MOSU PW</v>
      </c>
      <c r="BH58" s="290">
        <f t="shared" si="27"/>
        <v>0.93</v>
      </c>
      <c r="BI58" s="291">
        <f t="shared" si="41"/>
        <v>0.29760000109672546</v>
      </c>
      <c r="BJ58" s="280"/>
      <c r="BK58" s="272" t="str">
        <f t="shared" si="28"/>
        <v>MOSU PW</v>
      </c>
      <c r="BL58" s="290">
        <f t="shared" si="42"/>
        <v>0.96</v>
      </c>
      <c r="BM58" s="290">
        <f t="shared" si="43"/>
        <v>0.29760000109672546</v>
      </c>
      <c r="BN58" s="281"/>
      <c r="BO58" s="292" t="str">
        <f t="shared" si="44"/>
        <v>MOSU PW</v>
      </c>
      <c r="BP58" s="290">
        <f t="shared" si="45"/>
        <v>0.83</v>
      </c>
      <c r="BQ58" s="291">
        <f t="shared" si="53"/>
        <v>0.26879999041557312</v>
      </c>
      <c r="BR58" s="280"/>
      <c r="BS58" s="293" t="str">
        <f t="shared" si="46"/>
        <v>MOSU PW</v>
      </c>
      <c r="BT58" s="290">
        <f t="shared" si="54"/>
        <v>2.72</v>
      </c>
      <c r="BU58" s="291">
        <f t="shared" si="55"/>
        <v>0.86399999260902405</v>
      </c>
      <c r="BV58" s="281"/>
      <c r="BW58" s="281"/>
      <c r="BX58" s="281"/>
      <c r="BY58" s="281"/>
      <c r="BZ58" s="281"/>
      <c r="CA58" s="281"/>
      <c r="CB58" s="281"/>
      <c r="CC58" s="280"/>
      <c r="CD58" s="280" t="str">
        <f t="shared" si="31"/>
        <v>MOSU PW</v>
      </c>
      <c r="CE58" s="280">
        <v>54.7</v>
      </c>
      <c r="CF58" s="280">
        <f t="shared" si="47"/>
        <v>0.29449999332427979</v>
      </c>
      <c r="CG58" s="280"/>
      <c r="CH58" s="280" t="str">
        <f t="shared" si="32"/>
        <v>MOSU PW</v>
      </c>
      <c r="CI58" s="280">
        <v>54.7</v>
      </c>
      <c r="CJ58" s="284">
        <f t="shared" si="33"/>
        <v>0.28499999642372131</v>
      </c>
      <c r="CK58" s="280"/>
      <c r="CL58" s="280" t="str">
        <f t="shared" si="34"/>
        <v>MOSU PW</v>
      </c>
      <c r="CM58" s="280">
        <v>54.7</v>
      </c>
      <c r="CN58" s="284">
        <f t="shared" si="35"/>
        <v>0.29139998555183411</v>
      </c>
    </row>
    <row r="59" spans="1:92" ht="15" customHeight="1" x14ac:dyDescent="0.25">
      <c r="A59" s="286" t="s">
        <v>159</v>
      </c>
      <c r="B59" s="286">
        <v>1.7711999416351318</v>
      </c>
      <c r="C59" s="287">
        <v>1.8289999961853027</v>
      </c>
      <c r="D59" s="287">
        <v>1.8197000026702881</v>
      </c>
      <c r="E59" s="287">
        <v>1.7549999952316284</v>
      </c>
      <c r="F59" s="287">
        <v>1.8072999715805054</v>
      </c>
      <c r="G59" s="287">
        <v>1.7400000095367432</v>
      </c>
      <c r="H59" s="287">
        <v>1.7918000221252441</v>
      </c>
      <c r="I59" s="287">
        <v>1.785599946975708</v>
      </c>
      <c r="J59" s="287">
        <v>1.607200026512146</v>
      </c>
      <c r="K59" s="287">
        <v>1.7700999975204468</v>
      </c>
      <c r="L59" s="287">
        <v>1.7070000171661377</v>
      </c>
      <c r="M59" s="288">
        <v>1.7546000480651855</v>
      </c>
      <c r="N59" s="289">
        <f t="shared" si="5"/>
        <v>21.138499975204468</v>
      </c>
      <c r="O59" s="304"/>
      <c r="R59" s="272" t="str">
        <f t="shared" si="6"/>
        <v>MOSUMT D24</v>
      </c>
      <c r="S59" s="290">
        <f t="shared" si="52"/>
        <v>0.88</v>
      </c>
      <c r="T59" s="291">
        <f t="shared" si="36"/>
        <v>1.7711999416351318</v>
      </c>
      <c r="U59" s="270"/>
      <c r="V59" s="272" t="str">
        <f t="shared" si="7"/>
        <v>MOSUMT D24</v>
      </c>
      <c r="W59" s="290">
        <f t="shared" si="37"/>
        <v>1.68</v>
      </c>
      <c r="X59" s="291">
        <f t="shared" si="8"/>
        <v>1.8289999961853027</v>
      </c>
      <c r="Y59" s="270"/>
      <c r="Z59" s="272" t="str">
        <f t="shared" si="9"/>
        <v>MOSUMT D24</v>
      </c>
      <c r="AA59" s="290">
        <f t="shared" si="38"/>
        <v>1.37</v>
      </c>
      <c r="AB59" s="291">
        <f t="shared" si="10"/>
        <v>1.8197000026702881</v>
      </c>
      <c r="AC59" s="270"/>
      <c r="AD59" s="272" t="str">
        <f t="shared" si="11"/>
        <v>MOSUMT D24</v>
      </c>
      <c r="AE59" s="290">
        <f t="shared" si="56"/>
        <v>3.93</v>
      </c>
      <c r="AF59" s="291">
        <f t="shared" si="57"/>
        <v>5.4198999404907227</v>
      </c>
      <c r="AG59" s="271"/>
      <c r="AH59" s="271"/>
      <c r="AI59" s="271"/>
      <c r="AJ59" s="271"/>
      <c r="AK59" s="271"/>
      <c r="AL59" s="272" t="str">
        <f t="shared" si="14"/>
        <v>MOSUMT D24</v>
      </c>
      <c r="AM59" s="273">
        <f t="shared" si="15"/>
        <v>1.56</v>
      </c>
      <c r="AN59" s="273">
        <f t="shared" si="16"/>
        <v>1.7549999952316284</v>
      </c>
      <c r="AO59" s="274"/>
      <c r="AP59" s="275" t="str">
        <f t="shared" si="17"/>
        <v>MOSUMT D24</v>
      </c>
      <c r="AQ59" s="275">
        <f t="shared" si="18"/>
        <v>1.56</v>
      </c>
      <c r="AR59" s="273">
        <f t="shared" si="19"/>
        <v>1.8072999715805054</v>
      </c>
      <c r="AS59" s="276"/>
      <c r="AT59" s="275" t="str">
        <f t="shared" si="20"/>
        <v>MOSUMT D24</v>
      </c>
      <c r="AU59" s="273">
        <f t="shared" si="21"/>
        <v>1.39</v>
      </c>
      <c r="AV59" s="273">
        <f t="shared" si="22"/>
        <v>1.7400000095367432</v>
      </c>
      <c r="AW59" s="277"/>
      <c r="AX59" s="275" t="str">
        <f t="shared" si="23"/>
        <v>MOSUMT D24</v>
      </c>
      <c r="AY59" s="273">
        <f t="shared" si="58"/>
        <v>4.51</v>
      </c>
      <c r="AZ59" s="273">
        <f t="shared" si="59"/>
        <v>5.302299976348877</v>
      </c>
      <c r="BA59" s="270"/>
      <c r="BB59" s="270"/>
      <c r="BC59" s="270"/>
      <c r="BD59" s="270"/>
      <c r="BE59" s="270"/>
      <c r="BF59" s="280"/>
      <c r="BG59" s="272" t="str">
        <f t="shared" si="26"/>
        <v>MOSUMT D24</v>
      </c>
      <c r="BH59" s="290">
        <f t="shared" si="27"/>
        <v>1.1000000000000001</v>
      </c>
      <c r="BI59" s="291">
        <f t="shared" si="41"/>
        <v>1.7918000221252441</v>
      </c>
      <c r="BJ59" s="280"/>
      <c r="BK59" s="272" t="str">
        <f t="shared" si="28"/>
        <v>MOSUMT D24</v>
      </c>
      <c r="BL59" s="290">
        <f t="shared" si="42"/>
        <v>0.89</v>
      </c>
      <c r="BM59" s="290">
        <f t="shared" si="43"/>
        <v>1.785599946975708</v>
      </c>
      <c r="BN59" s="281"/>
      <c r="BO59" s="292" t="str">
        <f t="shared" si="44"/>
        <v>MOSUMT D24</v>
      </c>
      <c r="BP59" s="290">
        <f t="shared" si="45"/>
        <v>0.79</v>
      </c>
      <c r="BQ59" s="291">
        <f t="shared" si="53"/>
        <v>1.607200026512146</v>
      </c>
      <c r="BR59" s="280"/>
      <c r="BS59" s="293" t="str">
        <f t="shared" si="46"/>
        <v>MOSUMT D24</v>
      </c>
      <c r="BT59" s="290">
        <f t="shared" si="54"/>
        <v>2.7800000000000002</v>
      </c>
      <c r="BU59" s="291">
        <f t="shared" si="55"/>
        <v>5.1845999956130981</v>
      </c>
      <c r="BV59" s="281"/>
      <c r="BW59" s="281"/>
      <c r="BX59" s="281"/>
      <c r="BY59" s="281"/>
      <c r="BZ59" s="281"/>
      <c r="CA59" s="281"/>
      <c r="CB59" s="281"/>
      <c r="CC59" s="280"/>
      <c r="CD59" s="280" t="str">
        <f t="shared" si="31"/>
        <v>MOSUMT D24</v>
      </c>
      <c r="CE59" s="280">
        <v>55.7</v>
      </c>
      <c r="CF59" s="280">
        <f t="shared" si="47"/>
        <v>1.7700999975204468</v>
      </c>
      <c r="CG59" s="280"/>
      <c r="CH59" s="280" t="str">
        <f t="shared" si="32"/>
        <v>MOSUMT D24</v>
      </c>
      <c r="CI59" s="280">
        <v>55.7</v>
      </c>
      <c r="CJ59" s="284">
        <f t="shared" si="33"/>
        <v>1.7070000171661377</v>
      </c>
      <c r="CK59" s="280"/>
      <c r="CL59" s="280" t="str">
        <f t="shared" si="34"/>
        <v>MOSUMT D24</v>
      </c>
      <c r="CM59" s="280">
        <v>55.7</v>
      </c>
      <c r="CN59" s="284">
        <f t="shared" si="35"/>
        <v>1.7546000480651855</v>
      </c>
    </row>
    <row r="60" spans="1:92" ht="15" customHeight="1" x14ac:dyDescent="0.25">
      <c r="A60" s="286" t="s">
        <v>160</v>
      </c>
      <c r="B60" s="286">
        <v>10.984199523925781</v>
      </c>
      <c r="C60" s="287">
        <v>11.169300079345703</v>
      </c>
      <c r="D60" s="287">
        <v>10.98639965057373</v>
      </c>
      <c r="E60" s="287">
        <v>10.458000183105469</v>
      </c>
      <c r="F60" s="287">
        <v>10.626799583435059</v>
      </c>
      <c r="G60" s="287">
        <v>10.116000175476074</v>
      </c>
      <c r="H60" s="287">
        <v>10.282699584960937</v>
      </c>
      <c r="I60" s="287">
        <v>10.115300178527832</v>
      </c>
      <c r="J60" s="287">
        <v>8.9879999160766602</v>
      </c>
      <c r="K60" s="287">
        <v>9.7867002487182617</v>
      </c>
      <c r="L60" s="287">
        <v>9.3179998397827148</v>
      </c>
      <c r="M60" s="288">
        <v>9.4704999923706055</v>
      </c>
      <c r="N60" s="289">
        <f t="shared" si="5"/>
        <v>122.30189895629883</v>
      </c>
      <c r="O60" s="304"/>
      <c r="R60" s="272" t="str">
        <f t="shared" si="6"/>
        <v>MOSUMT PC</v>
      </c>
      <c r="S60" s="290">
        <f t="shared" si="52"/>
        <v>12.97</v>
      </c>
      <c r="T60" s="291">
        <f t="shared" si="36"/>
        <v>10.984199523925781</v>
      </c>
      <c r="U60" s="270"/>
      <c r="V60" s="272" t="str">
        <f t="shared" si="7"/>
        <v>MOSUMT PC</v>
      </c>
      <c r="W60" s="290">
        <f t="shared" si="37"/>
        <v>12.09</v>
      </c>
      <c r="X60" s="291">
        <f t="shared" si="8"/>
        <v>11.169300079345703</v>
      </c>
      <c r="Y60" s="270"/>
      <c r="Z60" s="272" t="str">
        <f t="shared" si="9"/>
        <v>MOSUMT PC</v>
      </c>
      <c r="AA60" s="290">
        <f t="shared" si="38"/>
        <v>13.37</v>
      </c>
      <c r="AB60" s="291">
        <f t="shared" si="10"/>
        <v>10.98639965057373</v>
      </c>
      <c r="AC60" s="270"/>
      <c r="AD60" s="272" t="str">
        <f t="shared" si="11"/>
        <v>MOSUMT PC</v>
      </c>
      <c r="AE60" s="290">
        <f t="shared" si="56"/>
        <v>38.43</v>
      </c>
      <c r="AF60" s="291">
        <f t="shared" si="57"/>
        <v>33.139899253845215</v>
      </c>
      <c r="AG60" s="271"/>
      <c r="AH60" s="271"/>
      <c r="AI60" s="271"/>
      <c r="AJ60" s="271"/>
      <c r="AK60" s="271"/>
      <c r="AL60" s="272" t="str">
        <f t="shared" si="14"/>
        <v>MOSUMT PC</v>
      </c>
      <c r="AM60" s="273">
        <f t="shared" si="15"/>
        <v>12.49</v>
      </c>
      <c r="AN60" s="273">
        <f t="shared" si="16"/>
        <v>10.458000183105469</v>
      </c>
      <c r="AO60" s="274"/>
      <c r="AP60" s="275" t="str">
        <f t="shared" si="17"/>
        <v>MOSUMT PC</v>
      </c>
      <c r="AQ60" s="275">
        <f t="shared" si="18"/>
        <v>13.17</v>
      </c>
      <c r="AR60" s="273">
        <f t="shared" si="19"/>
        <v>10.626799583435059</v>
      </c>
      <c r="AS60" s="276"/>
      <c r="AT60" s="275" t="str">
        <f t="shared" si="20"/>
        <v>MOSUMT PC</v>
      </c>
      <c r="AU60" s="273">
        <f t="shared" si="21"/>
        <v>12.45</v>
      </c>
      <c r="AV60" s="273">
        <f t="shared" si="22"/>
        <v>10.116000175476074</v>
      </c>
      <c r="AW60" s="277"/>
      <c r="AX60" s="275" t="str">
        <f t="shared" si="23"/>
        <v>MOSUMT PC</v>
      </c>
      <c r="AY60" s="273">
        <f t="shared" si="58"/>
        <v>38.11</v>
      </c>
      <c r="AZ60" s="273">
        <f t="shared" si="59"/>
        <v>31.200799942016602</v>
      </c>
      <c r="BA60" s="270"/>
      <c r="BB60" s="270"/>
      <c r="BC60" s="270"/>
      <c r="BD60" s="270"/>
      <c r="BE60" s="270"/>
      <c r="BF60" s="280"/>
      <c r="BG60" s="272" t="str">
        <f t="shared" si="26"/>
        <v>MOSUMT PC</v>
      </c>
      <c r="BH60" s="290">
        <f t="shared" si="27"/>
        <v>13.03</v>
      </c>
      <c r="BI60" s="291">
        <f t="shared" si="41"/>
        <v>10.282699584960937</v>
      </c>
      <c r="BJ60" s="280"/>
      <c r="BK60" s="272" t="str">
        <f t="shared" si="28"/>
        <v>MOSUMT PC</v>
      </c>
      <c r="BL60" s="290">
        <f t="shared" si="42"/>
        <v>12.42</v>
      </c>
      <c r="BM60" s="290">
        <f t="shared" si="43"/>
        <v>10.115300178527832</v>
      </c>
      <c r="BN60" s="281"/>
      <c r="BO60" s="292" t="str">
        <f t="shared" si="44"/>
        <v>MOSUMT PC</v>
      </c>
      <c r="BP60" s="290">
        <f t="shared" si="45"/>
        <v>11.29</v>
      </c>
      <c r="BQ60" s="291">
        <f t="shared" si="53"/>
        <v>8.9879999160766602</v>
      </c>
      <c r="BR60" s="280"/>
      <c r="BS60" s="293" t="str">
        <f t="shared" si="46"/>
        <v>MOSUMT PC</v>
      </c>
      <c r="BT60" s="290">
        <f t="shared" si="54"/>
        <v>36.739999999999995</v>
      </c>
      <c r="BU60" s="291">
        <f t="shared" si="55"/>
        <v>29.38599967956543</v>
      </c>
      <c r="BV60" s="281"/>
      <c r="BW60" s="281"/>
      <c r="BX60" s="281"/>
      <c r="BY60" s="281"/>
      <c r="BZ60" s="281"/>
      <c r="CA60" s="281"/>
      <c r="CB60" s="281"/>
      <c r="CC60" s="280"/>
      <c r="CD60" s="280" t="str">
        <f t="shared" si="31"/>
        <v>MOSUMT PC</v>
      </c>
      <c r="CE60" s="280">
        <v>56.7</v>
      </c>
      <c r="CF60" s="280">
        <f t="shared" si="47"/>
        <v>9.7867002487182617</v>
      </c>
      <c r="CG60" s="280"/>
      <c r="CH60" s="280" t="str">
        <f t="shared" si="32"/>
        <v>MOSUMT PC</v>
      </c>
      <c r="CI60" s="280">
        <v>56.7</v>
      </c>
      <c r="CJ60" s="284">
        <f t="shared" si="33"/>
        <v>9.3179998397827148</v>
      </c>
      <c r="CK60" s="280"/>
      <c r="CL60" s="280" t="str">
        <f t="shared" si="34"/>
        <v>MOSUMT PC</v>
      </c>
      <c r="CM60" s="280">
        <v>56.7</v>
      </c>
      <c r="CN60" s="284">
        <f t="shared" si="35"/>
        <v>9.4704999923706055</v>
      </c>
    </row>
    <row r="61" spans="1:92" ht="15" customHeight="1" x14ac:dyDescent="0.25">
      <c r="A61" s="286" t="s">
        <v>121</v>
      </c>
      <c r="B61" s="286">
        <v>3.5789999961853027</v>
      </c>
      <c r="C61" s="287">
        <v>3.6828000545501709</v>
      </c>
      <c r="D61" s="287">
        <v>3.6703999042510986</v>
      </c>
      <c r="E61" s="287">
        <v>3.5399999618530273</v>
      </c>
      <c r="F61" s="287">
        <v>3.6456000804901123</v>
      </c>
      <c r="G61" s="287">
        <v>3.5130000114440918</v>
      </c>
      <c r="H61" s="287">
        <v>3.6177000999450684</v>
      </c>
      <c r="I61" s="287">
        <v>3.6084001064300537</v>
      </c>
      <c r="J61" s="287">
        <v>3.2451999187469482</v>
      </c>
      <c r="K61" s="287">
        <v>3.5804998874664307</v>
      </c>
      <c r="L61" s="287">
        <v>3.4530000686645508</v>
      </c>
      <c r="M61" s="288">
        <v>3.5557000637054443</v>
      </c>
      <c r="N61" s="289">
        <f t="shared" si="5"/>
        <v>42.6913001537323</v>
      </c>
      <c r="O61" s="304"/>
      <c r="R61" s="272" t="str">
        <f t="shared" si="6"/>
        <v>NBXCAMP PC</v>
      </c>
      <c r="S61" s="290">
        <f t="shared" si="52"/>
        <v>3.38</v>
      </c>
      <c r="T61" s="291">
        <f t="shared" si="36"/>
        <v>3.5789999961853027</v>
      </c>
      <c r="U61" s="270"/>
      <c r="V61" s="272" t="str">
        <f t="shared" si="7"/>
        <v>NBXCAMP PC</v>
      </c>
      <c r="W61" s="290">
        <f t="shared" si="37"/>
        <v>3.5</v>
      </c>
      <c r="X61" s="291">
        <f t="shared" si="8"/>
        <v>3.6828000545501709</v>
      </c>
      <c r="Y61" s="270"/>
      <c r="Z61" s="272" t="str">
        <f t="shared" si="9"/>
        <v>NBXCAMP PC</v>
      </c>
      <c r="AA61" s="290">
        <f t="shared" si="38"/>
        <v>2.41</v>
      </c>
      <c r="AB61" s="291">
        <f t="shared" si="10"/>
        <v>3.6703999042510986</v>
      </c>
      <c r="AC61" s="270"/>
      <c r="AD61" s="272" t="str">
        <f t="shared" si="11"/>
        <v>NBXCAMP PC</v>
      </c>
      <c r="AE61" s="290">
        <f t="shared" si="56"/>
        <v>9.2899999999999991</v>
      </c>
      <c r="AF61" s="291">
        <f t="shared" si="57"/>
        <v>10.932199954986572</v>
      </c>
      <c r="AG61" s="271"/>
      <c r="AH61" s="271"/>
      <c r="AI61" s="271"/>
      <c r="AJ61" s="271"/>
      <c r="AK61" s="271"/>
      <c r="AL61" s="272" t="str">
        <f t="shared" si="14"/>
        <v>NBXCAMP PC</v>
      </c>
      <c r="AM61" s="273">
        <f t="shared" si="15"/>
        <v>3.85</v>
      </c>
      <c r="AN61" s="273">
        <f t="shared" si="16"/>
        <v>3.5399999618530273</v>
      </c>
      <c r="AO61" s="274"/>
      <c r="AP61" s="275" t="str">
        <f t="shared" si="17"/>
        <v>NBXCAMP PC</v>
      </c>
      <c r="AQ61" s="275">
        <f t="shared" si="18"/>
        <v>4.05</v>
      </c>
      <c r="AR61" s="273">
        <f t="shared" si="19"/>
        <v>3.6456000804901123</v>
      </c>
      <c r="AS61" s="276"/>
      <c r="AT61" s="275" t="str">
        <f t="shared" si="20"/>
        <v>NBXCAMP PC</v>
      </c>
      <c r="AU61" s="273">
        <f t="shared" si="21"/>
        <v>5.0199999999999996</v>
      </c>
      <c r="AV61" s="273">
        <f t="shared" si="22"/>
        <v>3.5130000114440918</v>
      </c>
      <c r="AW61" s="277"/>
      <c r="AX61" s="275" t="str">
        <f t="shared" si="23"/>
        <v>NBXCAMP PC</v>
      </c>
      <c r="AY61" s="273">
        <f t="shared" si="58"/>
        <v>12.92</v>
      </c>
      <c r="AZ61" s="273">
        <f t="shared" si="59"/>
        <v>10.698600053787231</v>
      </c>
      <c r="BA61" s="270"/>
      <c r="BB61" s="270"/>
      <c r="BC61" s="270"/>
      <c r="BD61" s="270"/>
      <c r="BE61" s="270"/>
      <c r="BF61" s="280"/>
      <c r="BG61" s="272" t="str">
        <f t="shared" si="26"/>
        <v>NBXCAMP PC</v>
      </c>
      <c r="BH61" s="290">
        <f t="shared" si="27"/>
        <v>4.16</v>
      </c>
      <c r="BI61" s="291">
        <f t="shared" si="41"/>
        <v>3.6177000999450684</v>
      </c>
      <c r="BJ61" s="280"/>
      <c r="BK61" s="272" t="str">
        <f t="shared" si="28"/>
        <v>NBXCAMP PC</v>
      </c>
      <c r="BL61" s="290">
        <f t="shared" si="42"/>
        <v>3.79</v>
      </c>
      <c r="BM61" s="290">
        <f t="shared" si="43"/>
        <v>3.6084001064300537</v>
      </c>
      <c r="BN61" s="281"/>
      <c r="BO61" s="292" t="str">
        <f t="shared" si="44"/>
        <v>NBXCAMP PC</v>
      </c>
      <c r="BP61" s="290">
        <f t="shared" si="45"/>
        <v>4.6399999999999997</v>
      </c>
      <c r="BQ61" s="291">
        <f t="shared" si="53"/>
        <v>3.2451999187469482</v>
      </c>
      <c r="BR61" s="280"/>
      <c r="BS61" s="293" t="str">
        <f t="shared" si="46"/>
        <v>NBXCAMP PC</v>
      </c>
      <c r="BT61" s="290">
        <f t="shared" si="54"/>
        <v>12.59</v>
      </c>
      <c r="BU61" s="291">
        <f t="shared" si="55"/>
        <v>10.47130012512207</v>
      </c>
      <c r="BV61" s="281"/>
      <c r="BW61" s="281"/>
      <c r="BX61" s="281"/>
      <c r="BY61" s="281"/>
      <c r="BZ61" s="281"/>
      <c r="CA61" s="281"/>
      <c r="CB61" s="281"/>
      <c r="CC61" s="280"/>
      <c r="CD61" s="280" t="str">
        <f t="shared" si="31"/>
        <v>NBXCAMP PC</v>
      </c>
      <c r="CE61" s="280">
        <v>57.7</v>
      </c>
      <c r="CF61" s="280">
        <f t="shared" si="47"/>
        <v>3.5804998874664307</v>
      </c>
      <c r="CG61" s="280"/>
      <c r="CH61" s="280" t="str">
        <f t="shared" si="32"/>
        <v>NBXCAMP PC</v>
      </c>
      <c r="CI61" s="280">
        <v>57.7</v>
      </c>
      <c r="CJ61" s="284">
        <f t="shared" si="33"/>
        <v>3.4530000686645508</v>
      </c>
      <c r="CK61" s="280"/>
      <c r="CL61" s="280" t="str">
        <f t="shared" si="34"/>
        <v>NBXCAMP PC</v>
      </c>
      <c r="CM61" s="280">
        <v>57.7</v>
      </c>
      <c r="CN61" s="284">
        <f t="shared" si="35"/>
        <v>3.5557000637054443</v>
      </c>
    </row>
    <row r="62" spans="1:92" ht="15" customHeight="1" x14ac:dyDescent="0.25">
      <c r="A62" s="286" t="s">
        <v>122</v>
      </c>
      <c r="B62" s="286">
        <v>2.5409998893737793</v>
      </c>
      <c r="C62" s="287">
        <v>2.6071000099182129</v>
      </c>
      <c r="D62" s="287">
        <v>2.5915999412536621</v>
      </c>
      <c r="E62" s="287">
        <v>2.4930000305175781</v>
      </c>
      <c r="F62" s="287">
        <v>2.5606000423431396</v>
      </c>
      <c r="G62" s="287">
        <v>2.4630000591278076</v>
      </c>
      <c r="H62" s="287">
        <v>2.5295999050140381</v>
      </c>
      <c r="I62" s="287">
        <v>2.5141000747680664</v>
      </c>
      <c r="J62" s="287">
        <v>2.2595999240875244</v>
      </c>
      <c r="K62" s="287">
        <v>2.4862000942230225</v>
      </c>
      <c r="L62" s="287">
        <v>2.3910000324249268</v>
      </c>
      <c r="M62" s="288">
        <v>2.4551999568939209</v>
      </c>
      <c r="N62" s="289">
        <f t="shared" si="5"/>
        <v>29.891999959945679</v>
      </c>
      <c r="O62" s="304"/>
      <c r="R62" s="272" t="str">
        <f t="shared" si="6"/>
        <v>NOBXFLD PC</v>
      </c>
      <c r="S62" s="290">
        <f t="shared" si="52"/>
        <v>1.84</v>
      </c>
      <c r="T62" s="291">
        <f t="shared" si="36"/>
        <v>2.5409998893737793</v>
      </c>
      <c r="U62" s="270"/>
      <c r="V62" s="272" t="str">
        <f t="shared" si="7"/>
        <v>NOBXFLD PC</v>
      </c>
      <c r="W62" s="290">
        <f t="shared" si="37"/>
        <v>2.75</v>
      </c>
      <c r="X62" s="291">
        <f t="shared" si="8"/>
        <v>2.6071000099182129</v>
      </c>
      <c r="Y62" s="270"/>
      <c r="Z62" s="272" t="str">
        <f t="shared" si="9"/>
        <v>NOBXFLD PC</v>
      </c>
      <c r="AA62" s="290">
        <f t="shared" si="38"/>
        <v>0.15</v>
      </c>
      <c r="AB62" s="291">
        <f t="shared" si="10"/>
        <v>2.5915999412536621</v>
      </c>
      <c r="AC62" s="270"/>
      <c r="AD62" s="272" t="str">
        <f t="shared" si="11"/>
        <v>NOBXFLD PC</v>
      </c>
      <c r="AE62" s="290">
        <f t="shared" si="56"/>
        <v>4.74</v>
      </c>
      <c r="AF62" s="291">
        <f t="shared" si="57"/>
        <v>7.7396998405456543</v>
      </c>
      <c r="AG62" s="271"/>
      <c r="AH62" s="271"/>
      <c r="AI62" s="271"/>
      <c r="AJ62" s="271"/>
      <c r="AK62" s="271"/>
      <c r="AL62" s="272" t="str">
        <f t="shared" si="14"/>
        <v>NOBXFLD PC</v>
      </c>
      <c r="AM62" s="273">
        <f t="shared" si="15"/>
        <v>1.52</v>
      </c>
      <c r="AN62" s="273">
        <f t="shared" si="16"/>
        <v>2.4930000305175781</v>
      </c>
      <c r="AO62" s="274"/>
      <c r="AP62" s="275" t="str">
        <f t="shared" si="17"/>
        <v>NOBXFLD PC</v>
      </c>
      <c r="AQ62" s="275">
        <f t="shared" si="18"/>
        <v>3.74</v>
      </c>
      <c r="AR62" s="273">
        <f t="shared" si="19"/>
        <v>2.5606000423431396</v>
      </c>
      <c r="AS62" s="276"/>
      <c r="AT62" s="275" t="str">
        <f t="shared" si="20"/>
        <v>NOBXFLD PC</v>
      </c>
      <c r="AU62" s="273">
        <f t="shared" si="21"/>
        <v>2.63</v>
      </c>
      <c r="AV62" s="273">
        <f t="shared" si="22"/>
        <v>2.4630000591278076</v>
      </c>
      <c r="AW62" s="277"/>
      <c r="AX62" s="275" t="str">
        <f t="shared" si="23"/>
        <v>NOBXFLD PC</v>
      </c>
      <c r="AY62" s="273">
        <f t="shared" si="58"/>
        <v>7.89</v>
      </c>
      <c r="AZ62" s="273">
        <f t="shared" si="59"/>
        <v>7.5166001319885254</v>
      </c>
      <c r="BA62" s="270"/>
      <c r="BB62" s="270"/>
      <c r="BC62" s="270"/>
      <c r="BD62" s="270"/>
      <c r="BE62" s="270"/>
      <c r="BF62" s="280"/>
      <c r="BG62" s="272" t="str">
        <f t="shared" si="26"/>
        <v>NOBXFLD PC</v>
      </c>
      <c r="BH62" s="290">
        <f t="shared" si="27"/>
        <v>2.1800000000000002</v>
      </c>
      <c r="BI62" s="291">
        <f t="shared" si="41"/>
        <v>2.5295999050140381</v>
      </c>
      <c r="BJ62" s="280"/>
      <c r="BK62" s="272" t="str">
        <f t="shared" si="28"/>
        <v>NOBXFLD PC</v>
      </c>
      <c r="BL62" s="290">
        <f t="shared" si="42"/>
        <v>2.2999999999999998</v>
      </c>
      <c r="BM62" s="290">
        <f t="shared" si="43"/>
        <v>2.5141000747680664</v>
      </c>
      <c r="BN62" s="281"/>
      <c r="BO62" s="292" t="str">
        <f t="shared" si="44"/>
        <v>NOBXFLD PC</v>
      </c>
      <c r="BP62" s="290">
        <f t="shared" si="45"/>
        <v>1.64</v>
      </c>
      <c r="BQ62" s="291">
        <f t="shared" si="53"/>
        <v>2.2595999240875244</v>
      </c>
      <c r="BR62" s="280"/>
      <c r="BS62" s="293" t="str">
        <f t="shared" si="46"/>
        <v>NOBXFLD PC</v>
      </c>
      <c r="BT62" s="290">
        <f t="shared" si="54"/>
        <v>6.12</v>
      </c>
      <c r="BU62" s="291">
        <f t="shared" si="55"/>
        <v>7.3032999038696289</v>
      </c>
      <c r="BV62" s="281"/>
      <c r="BW62" s="281"/>
      <c r="BX62" s="281"/>
      <c r="BY62" s="281"/>
      <c r="BZ62" s="281"/>
      <c r="CA62" s="281"/>
      <c r="CB62" s="281"/>
      <c r="CC62" s="280"/>
      <c r="CD62" s="280" t="str">
        <f t="shared" si="31"/>
        <v>NOBXFLD PC</v>
      </c>
      <c r="CE62" s="280">
        <v>58.7</v>
      </c>
      <c r="CF62" s="280">
        <f t="shared" si="47"/>
        <v>2.4862000942230225</v>
      </c>
      <c r="CG62" s="280"/>
      <c r="CH62" s="280" t="str">
        <f t="shared" si="32"/>
        <v>NOBXFLD PC</v>
      </c>
      <c r="CI62" s="280">
        <v>58.7</v>
      </c>
      <c r="CJ62" s="284">
        <f t="shared" si="33"/>
        <v>2.3910000324249268</v>
      </c>
      <c r="CK62" s="280"/>
      <c r="CL62" s="280" t="str">
        <f t="shared" si="34"/>
        <v>NOBXFLD PC</v>
      </c>
      <c r="CM62" s="280">
        <v>58.7</v>
      </c>
      <c r="CN62" s="284">
        <f t="shared" si="35"/>
        <v>2.4551999568939209</v>
      </c>
    </row>
    <row r="63" spans="1:92" ht="15" customHeight="1" x14ac:dyDescent="0.25">
      <c r="A63" s="286" t="s">
        <v>142</v>
      </c>
      <c r="B63" s="286">
        <v>0.80099999904632568</v>
      </c>
      <c r="C63" s="287">
        <v>0.8245999813079834</v>
      </c>
      <c r="D63" s="287">
        <v>0.82150000333786011</v>
      </c>
      <c r="E63" s="287">
        <v>0.78899997472763062</v>
      </c>
      <c r="F63" s="287">
        <v>0.81220000982284546</v>
      </c>
      <c r="G63" s="287">
        <v>0.78299999237060547</v>
      </c>
      <c r="H63" s="287">
        <v>0.80290001630783081</v>
      </c>
      <c r="I63" s="287">
        <v>0.79979997873306274</v>
      </c>
      <c r="J63" s="287">
        <v>0.71960002183914185</v>
      </c>
      <c r="K63" s="287">
        <v>0.7904999852180481</v>
      </c>
      <c r="L63" s="287">
        <v>0.76200002431869507</v>
      </c>
      <c r="M63" s="288">
        <v>0.78430002927780151</v>
      </c>
      <c r="N63" s="289">
        <f t="shared" si="5"/>
        <v>9.4904000163078308</v>
      </c>
      <c r="O63" s="304"/>
      <c r="R63" s="272" t="str">
        <f t="shared" si="6"/>
        <v>PDW1A1B D21</v>
      </c>
      <c r="S63" s="290">
        <f t="shared" si="52"/>
        <v>0.98</v>
      </c>
      <c r="T63" s="291">
        <f t="shared" si="36"/>
        <v>0.80099999904632568</v>
      </c>
      <c r="U63" s="270"/>
      <c r="V63" s="272" t="str">
        <f t="shared" si="7"/>
        <v>PDW1A1B D21</v>
      </c>
      <c r="W63" s="290">
        <f t="shared" si="37"/>
        <v>0.87</v>
      </c>
      <c r="X63" s="291">
        <f t="shared" si="8"/>
        <v>0.8245999813079834</v>
      </c>
      <c r="Y63" s="270"/>
      <c r="Z63" s="272" t="str">
        <f>R63</f>
        <v>PDW1A1B D21</v>
      </c>
      <c r="AA63" s="290">
        <f t="shared" si="38"/>
        <v>0.8</v>
      </c>
      <c r="AB63" s="291">
        <f t="shared" si="10"/>
        <v>0.82150000333786011</v>
      </c>
      <c r="AC63" s="270"/>
      <c r="AD63" s="272" t="str">
        <f t="shared" si="11"/>
        <v>PDW1A1B D21</v>
      </c>
      <c r="AE63" s="290">
        <f t="shared" si="56"/>
        <v>2.6500000000000004</v>
      </c>
      <c r="AF63" s="291">
        <f t="shared" si="57"/>
        <v>2.4470999836921692</v>
      </c>
      <c r="AG63" s="271"/>
      <c r="AH63" s="271"/>
      <c r="AI63" s="271"/>
      <c r="AJ63" s="271"/>
      <c r="AK63" s="271"/>
      <c r="AL63" s="272" t="str">
        <f t="shared" si="14"/>
        <v>PDW1A1B D21</v>
      </c>
      <c r="AM63" s="273">
        <f t="shared" si="15"/>
        <v>0.78</v>
      </c>
      <c r="AN63" s="273">
        <f t="shared" si="16"/>
        <v>0.78899997472763062</v>
      </c>
      <c r="AO63" s="274"/>
      <c r="AP63" s="275" t="str">
        <f t="shared" si="17"/>
        <v>PDW1A1B D21</v>
      </c>
      <c r="AQ63" s="275">
        <f t="shared" si="18"/>
        <v>0.9</v>
      </c>
      <c r="AR63" s="273">
        <f t="shared" si="19"/>
        <v>0.81220000982284546</v>
      </c>
      <c r="AS63" s="276"/>
      <c r="AT63" s="275" t="str">
        <f t="shared" si="20"/>
        <v>PDW1A1B D21</v>
      </c>
      <c r="AU63" s="273">
        <f t="shared" si="21"/>
        <v>0.77</v>
      </c>
      <c r="AV63" s="273">
        <f t="shared" si="22"/>
        <v>0.78299999237060547</v>
      </c>
      <c r="AW63" s="277"/>
      <c r="AX63" s="275" t="str">
        <f t="shared" si="23"/>
        <v>PDW1A1B D21</v>
      </c>
      <c r="AY63" s="273">
        <f t="shared" si="58"/>
        <v>2.4500000000000002</v>
      </c>
      <c r="AZ63" s="273">
        <f t="shared" si="59"/>
        <v>2.3841999769210815</v>
      </c>
      <c r="BA63" s="270"/>
      <c r="BB63" s="270"/>
      <c r="BC63" s="270"/>
      <c r="BD63" s="270"/>
      <c r="BE63" s="270"/>
      <c r="BF63" s="280"/>
      <c r="BG63" s="272" t="str">
        <f t="shared" si="26"/>
        <v>PDW1A1B D21</v>
      </c>
      <c r="BH63" s="290">
        <f t="shared" si="27"/>
        <v>0.74</v>
      </c>
      <c r="BI63" s="291">
        <f t="shared" si="41"/>
        <v>0.80290001630783081</v>
      </c>
      <c r="BJ63" s="280"/>
      <c r="BK63" s="272" t="str">
        <f t="shared" si="28"/>
        <v>PDW1A1B D21</v>
      </c>
      <c r="BL63" s="290">
        <f t="shared" si="42"/>
        <v>0.54</v>
      </c>
      <c r="BM63" s="290">
        <f t="shared" si="43"/>
        <v>0.79979997873306274</v>
      </c>
      <c r="BN63" s="281"/>
      <c r="BO63" s="292" t="str">
        <f t="shared" si="44"/>
        <v>PDW1A1B D21</v>
      </c>
      <c r="BP63" s="290">
        <f t="shared" si="45"/>
        <v>0.64</v>
      </c>
      <c r="BQ63" s="291">
        <f t="shared" si="53"/>
        <v>0.71960002183914185</v>
      </c>
      <c r="BR63" s="280"/>
      <c r="BS63" s="293" t="str">
        <f t="shared" si="46"/>
        <v>PDW1A1B D21</v>
      </c>
      <c r="BT63" s="290">
        <f t="shared" si="54"/>
        <v>1.92</v>
      </c>
      <c r="BU63" s="291">
        <f t="shared" si="55"/>
        <v>2.3223000168800354</v>
      </c>
      <c r="BV63" s="281"/>
      <c r="BW63" s="281"/>
      <c r="BX63" s="281"/>
      <c r="BY63" s="281"/>
      <c r="BZ63" s="281"/>
      <c r="CA63" s="281"/>
      <c r="CB63" s="281"/>
      <c r="CC63" s="280"/>
      <c r="CD63" s="280" t="str">
        <f t="shared" si="31"/>
        <v>PDW1A1B D21</v>
      </c>
      <c r="CE63" s="280">
        <v>59.7</v>
      </c>
      <c r="CF63" s="280">
        <f t="shared" si="47"/>
        <v>0.7904999852180481</v>
      </c>
      <c r="CG63" s="280"/>
      <c r="CH63" s="280" t="str">
        <f t="shared" si="32"/>
        <v>PDW1A1B D21</v>
      </c>
      <c r="CI63" s="280">
        <v>59.7</v>
      </c>
      <c r="CJ63" s="284">
        <f t="shared" si="33"/>
        <v>0.76200002431869507</v>
      </c>
      <c r="CK63" s="280"/>
      <c r="CL63" s="280" t="str">
        <f t="shared" si="34"/>
        <v>PDW1A1B D21</v>
      </c>
      <c r="CM63" s="280">
        <v>59.7</v>
      </c>
      <c r="CN63" s="284">
        <f t="shared" si="35"/>
        <v>0.78430002927780151</v>
      </c>
    </row>
    <row r="64" spans="1:92" ht="15" customHeight="1" x14ac:dyDescent="0.25">
      <c r="A64" s="286" t="s">
        <v>123</v>
      </c>
      <c r="B64" s="286">
        <v>1.437000036239624</v>
      </c>
      <c r="C64" s="287">
        <v>1.4787000417709351</v>
      </c>
      <c r="D64" s="287">
        <v>1.4724999666213989</v>
      </c>
      <c r="E64" s="287">
        <v>1.4160000085830688</v>
      </c>
      <c r="F64" s="287">
        <v>1.4570000171661377</v>
      </c>
      <c r="G64" s="287">
        <v>1.4040000438690186</v>
      </c>
      <c r="H64" s="287">
        <v>1.4414999485015869</v>
      </c>
      <c r="I64" s="287">
        <v>1.4352999925613403</v>
      </c>
      <c r="J64" s="287">
        <v>1.2907999753952026</v>
      </c>
      <c r="K64" s="287">
        <v>1.4198000431060791</v>
      </c>
      <c r="L64" s="287">
        <v>1.3680000305175781</v>
      </c>
      <c r="M64" s="288">
        <v>1.4074000120162964</v>
      </c>
      <c r="N64" s="289">
        <f t="shared" si="5"/>
        <v>17.028000116348267</v>
      </c>
      <c r="O64" s="304"/>
      <c r="R64" s="272" t="str">
        <f t="shared" si="6"/>
        <v>PDW1A1B D24</v>
      </c>
      <c r="S64" s="290">
        <f t="shared" si="52"/>
        <v>2.46</v>
      </c>
      <c r="T64" s="291">
        <f t="shared" si="36"/>
        <v>1.437000036239624</v>
      </c>
      <c r="U64" s="270"/>
      <c r="V64" s="272" t="str">
        <f t="shared" si="7"/>
        <v>PDW1A1B D24</v>
      </c>
      <c r="W64" s="290">
        <f t="shared" si="37"/>
        <v>2.76</v>
      </c>
      <c r="X64" s="291">
        <f t="shared" si="8"/>
        <v>1.4787000417709351</v>
      </c>
      <c r="Y64" s="270"/>
      <c r="Z64" s="272" t="str">
        <f t="shared" si="9"/>
        <v>PDW1A1B D24</v>
      </c>
      <c r="AA64" s="290">
        <f t="shared" si="38"/>
        <v>2.7</v>
      </c>
      <c r="AB64" s="291">
        <f t="shared" si="10"/>
        <v>1.4724999666213989</v>
      </c>
      <c r="AC64" s="270"/>
      <c r="AD64" s="272" t="str">
        <f t="shared" si="11"/>
        <v>PDW1A1B D24</v>
      </c>
      <c r="AE64" s="290">
        <f t="shared" si="56"/>
        <v>7.92</v>
      </c>
      <c r="AF64" s="291">
        <f t="shared" si="57"/>
        <v>4.388200044631958</v>
      </c>
      <c r="AG64" s="271"/>
      <c r="AH64" s="271"/>
      <c r="AI64" s="271"/>
      <c r="AJ64" s="271"/>
      <c r="AK64" s="271"/>
      <c r="AL64" s="272" t="str">
        <f t="shared" si="14"/>
        <v>PDW1A1B D24</v>
      </c>
      <c r="AM64" s="273">
        <f t="shared" si="15"/>
        <v>2.4500000000000002</v>
      </c>
      <c r="AN64" s="273">
        <f t="shared" si="16"/>
        <v>1.4160000085830688</v>
      </c>
      <c r="AO64" s="274"/>
      <c r="AP64" s="275" t="str">
        <f t="shared" si="17"/>
        <v>PDW1A1B D24</v>
      </c>
      <c r="AQ64" s="275">
        <f t="shared" si="18"/>
        <v>2.23</v>
      </c>
      <c r="AR64" s="273">
        <f t="shared" si="19"/>
        <v>1.4570000171661377</v>
      </c>
      <c r="AS64" s="276"/>
      <c r="AT64" s="275" t="str">
        <f t="shared" si="20"/>
        <v>PDW1A1B D24</v>
      </c>
      <c r="AU64" s="273">
        <f t="shared" si="21"/>
        <v>2.29</v>
      </c>
      <c r="AV64" s="273">
        <f t="shared" si="22"/>
        <v>1.4040000438690186</v>
      </c>
      <c r="AW64" s="277"/>
      <c r="AX64" s="275" t="str">
        <f t="shared" si="23"/>
        <v>PDW1A1B D24</v>
      </c>
      <c r="AY64" s="273">
        <f t="shared" si="58"/>
        <v>6.97</v>
      </c>
      <c r="AZ64" s="273">
        <f t="shared" si="59"/>
        <v>4.2770000696182251</v>
      </c>
      <c r="BA64" s="270"/>
      <c r="BB64" s="270"/>
      <c r="BC64" s="270"/>
      <c r="BD64" s="270"/>
      <c r="BE64" s="270"/>
      <c r="BF64" s="280"/>
      <c r="BG64" s="272" t="str">
        <f t="shared" si="26"/>
        <v>PDW1A1B D24</v>
      </c>
      <c r="BH64" s="290">
        <f t="shared" si="27"/>
        <v>1.78</v>
      </c>
      <c r="BI64" s="291">
        <f t="shared" si="41"/>
        <v>1.4414999485015869</v>
      </c>
      <c r="BJ64" s="280"/>
      <c r="BK64" s="272" t="str">
        <f t="shared" si="28"/>
        <v>PDW1A1B D24</v>
      </c>
      <c r="BL64" s="290">
        <f t="shared" si="42"/>
        <v>1.53</v>
      </c>
      <c r="BM64" s="290">
        <f t="shared" si="43"/>
        <v>1.4352999925613403</v>
      </c>
      <c r="BN64" s="281"/>
      <c r="BO64" s="292" t="str">
        <f t="shared" si="44"/>
        <v>PDW1A1B D24</v>
      </c>
      <c r="BP64" s="290">
        <f t="shared" si="45"/>
        <v>2.06</v>
      </c>
      <c r="BQ64" s="291">
        <f t="shared" si="53"/>
        <v>1.2907999753952026</v>
      </c>
      <c r="BR64" s="280"/>
      <c r="BS64" s="293" t="str">
        <f t="shared" si="46"/>
        <v>PDW1A1B D24</v>
      </c>
      <c r="BT64" s="290">
        <f t="shared" si="54"/>
        <v>5.37</v>
      </c>
      <c r="BU64" s="291">
        <f t="shared" si="55"/>
        <v>4.1675999164581299</v>
      </c>
      <c r="BV64" s="281"/>
      <c r="BW64" s="281"/>
      <c r="BX64" s="281"/>
      <c r="BY64" s="281"/>
      <c r="BZ64" s="281"/>
      <c r="CA64" s="281"/>
      <c r="CB64" s="281"/>
      <c r="CC64" s="280"/>
      <c r="CD64" s="280" t="str">
        <f t="shared" si="31"/>
        <v>PDW1A1B D24</v>
      </c>
      <c r="CE64" s="280">
        <v>60.7</v>
      </c>
      <c r="CF64" s="280">
        <f t="shared" si="47"/>
        <v>1.4198000431060791</v>
      </c>
      <c r="CG64" s="280"/>
      <c r="CH64" s="280" t="str">
        <f t="shared" si="32"/>
        <v>PDW1A1B D24</v>
      </c>
      <c r="CI64" s="280">
        <v>60.7</v>
      </c>
      <c r="CJ64" s="284">
        <f t="shared" si="33"/>
        <v>1.3680000305175781</v>
      </c>
      <c r="CK64" s="280"/>
      <c r="CL64" s="280" t="str">
        <f t="shared" si="34"/>
        <v>PDW1A1B D24</v>
      </c>
      <c r="CM64" s="280">
        <v>60.7</v>
      </c>
      <c r="CN64" s="284">
        <f t="shared" si="35"/>
        <v>1.4074000120162964</v>
      </c>
    </row>
    <row r="65" spans="1:92" ht="15" customHeight="1" x14ac:dyDescent="0.25">
      <c r="A65" s="286" t="s">
        <v>124</v>
      </c>
      <c r="B65" s="286">
        <v>16.083000183105469</v>
      </c>
      <c r="C65" s="287">
        <v>16.53230094909668</v>
      </c>
      <c r="D65" s="287">
        <v>16.448600769042969</v>
      </c>
      <c r="E65" s="287">
        <v>15.836999893188477</v>
      </c>
      <c r="F65" s="287">
        <v>16.281200408935547</v>
      </c>
      <c r="G65" s="287">
        <v>15.678000450134277</v>
      </c>
      <c r="H65" s="287">
        <v>16.116899490356445</v>
      </c>
      <c r="I65" s="287">
        <v>16.036300659179687</v>
      </c>
      <c r="J65" s="287">
        <v>14.414400100708008</v>
      </c>
      <c r="K65" s="287">
        <v>15.878199577331543</v>
      </c>
      <c r="L65" s="287">
        <v>15.288000106811523</v>
      </c>
      <c r="M65" s="288">
        <v>15.720100402832031</v>
      </c>
      <c r="N65" s="289">
        <f t="shared" si="5"/>
        <v>190.31400299072266</v>
      </c>
      <c r="O65" s="304"/>
      <c r="R65" s="272" t="str">
        <f t="shared" si="6"/>
        <v>PDW1A1B PC</v>
      </c>
      <c r="S65" s="290">
        <f t="shared" si="52"/>
        <v>22.78</v>
      </c>
      <c r="T65" s="291">
        <f t="shared" si="36"/>
        <v>16.083000183105469</v>
      </c>
      <c r="U65" s="270"/>
      <c r="V65" s="272" t="str">
        <f t="shared" si="7"/>
        <v>PDW1A1B PC</v>
      </c>
      <c r="W65" s="290">
        <f t="shared" si="37"/>
        <v>23.5</v>
      </c>
      <c r="X65" s="291">
        <f t="shared" si="8"/>
        <v>16.53230094909668</v>
      </c>
      <c r="Y65" s="270"/>
      <c r="Z65" s="272" t="str">
        <f t="shared" si="9"/>
        <v>PDW1A1B PC</v>
      </c>
      <c r="AA65" s="290">
        <f t="shared" si="38"/>
        <v>22.19</v>
      </c>
      <c r="AB65" s="291">
        <f t="shared" si="10"/>
        <v>16.448600769042969</v>
      </c>
      <c r="AC65" s="270"/>
      <c r="AD65" s="272" t="str">
        <f t="shared" si="11"/>
        <v>PDW1A1B PC</v>
      </c>
      <c r="AE65" s="290">
        <f t="shared" si="56"/>
        <v>68.47</v>
      </c>
      <c r="AF65" s="291">
        <f t="shared" si="57"/>
        <v>49.063901901245117</v>
      </c>
      <c r="AG65" s="271"/>
      <c r="AH65" s="271"/>
      <c r="AI65" s="271"/>
      <c r="AJ65" s="271"/>
      <c r="AK65" s="271"/>
      <c r="AL65" s="272" t="str">
        <f t="shared" si="14"/>
        <v>PDW1A1B PC</v>
      </c>
      <c r="AM65" s="273">
        <f t="shared" si="15"/>
        <v>22.35</v>
      </c>
      <c r="AN65" s="273">
        <f t="shared" si="16"/>
        <v>15.836999893188477</v>
      </c>
      <c r="AO65" s="274"/>
      <c r="AP65" s="275" t="str">
        <f t="shared" si="17"/>
        <v>PDW1A1B PC</v>
      </c>
      <c r="AQ65" s="275">
        <f t="shared" si="18"/>
        <v>23.56</v>
      </c>
      <c r="AR65" s="273">
        <f t="shared" si="19"/>
        <v>16.281200408935547</v>
      </c>
      <c r="AS65" s="276"/>
      <c r="AT65" s="275" t="str">
        <f t="shared" si="20"/>
        <v>PDW1A1B PC</v>
      </c>
      <c r="AU65" s="273">
        <f t="shared" si="21"/>
        <v>21.98</v>
      </c>
      <c r="AV65" s="273">
        <f t="shared" si="22"/>
        <v>15.678000450134277</v>
      </c>
      <c r="AW65" s="277"/>
      <c r="AX65" s="275" t="str">
        <f t="shared" si="23"/>
        <v>PDW1A1B PC</v>
      </c>
      <c r="AY65" s="273">
        <f t="shared" si="58"/>
        <v>67.89</v>
      </c>
      <c r="AZ65" s="273">
        <f t="shared" si="59"/>
        <v>47.796200752258301</v>
      </c>
      <c r="BA65" s="270"/>
      <c r="BB65" s="270"/>
      <c r="BC65" s="270"/>
      <c r="BD65" s="270"/>
      <c r="BE65" s="270"/>
      <c r="BF65" s="280"/>
      <c r="BG65" s="272" t="str">
        <f t="shared" si="26"/>
        <v>PDW1A1B PC</v>
      </c>
      <c r="BH65" s="290">
        <f t="shared" si="27"/>
        <v>20.9</v>
      </c>
      <c r="BI65" s="291">
        <f t="shared" si="41"/>
        <v>16.116899490356445</v>
      </c>
      <c r="BJ65" s="280"/>
      <c r="BK65" s="272" t="str">
        <f t="shared" si="28"/>
        <v>PDW1A1B PC</v>
      </c>
      <c r="BL65" s="290">
        <f t="shared" si="42"/>
        <v>18.420000000000002</v>
      </c>
      <c r="BM65" s="290">
        <f t="shared" si="43"/>
        <v>16.036300659179687</v>
      </c>
      <c r="BN65" s="281"/>
      <c r="BO65" s="292" t="str">
        <f t="shared" si="44"/>
        <v>PDW1A1B PC</v>
      </c>
      <c r="BP65" s="290">
        <f t="shared" si="45"/>
        <v>19.48</v>
      </c>
      <c r="BQ65" s="291">
        <f t="shared" si="53"/>
        <v>14.414400100708008</v>
      </c>
      <c r="BR65" s="280"/>
      <c r="BS65" s="293" t="str">
        <f t="shared" si="46"/>
        <v>PDW1A1B PC</v>
      </c>
      <c r="BT65" s="290">
        <f t="shared" si="54"/>
        <v>58.8</v>
      </c>
      <c r="BU65" s="291">
        <f t="shared" si="55"/>
        <v>46.567600250244141</v>
      </c>
      <c r="BV65" s="281"/>
      <c r="BW65" s="281"/>
      <c r="BX65" s="281"/>
      <c r="BY65" s="281"/>
      <c r="BZ65" s="281"/>
      <c r="CA65" s="281"/>
      <c r="CB65" s="281"/>
      <c r="CC65" s="280"/>
      <c r="CD65" s="280" t="str">
        <f t="shared" si="31"/>
        <v>PDW1A1B PC</v>
      </c>
      <c r="CE65" s="280">
        <v>61.7</v>
      </c>
      <c r="CF65" s="280">
        <f t="shared" si="47"/>
        <v>15.878199577331543</v>
      </c>
      <c r="CG65" s="280"/>
      <c r="CH65" s="280" t="str">
        <f t="shared" si="32"/>
        <v>PDW1A1B PC</v>
      </c>
      <c r="CI65" s="280">
        <v>61.7</v>
      </c>
      <c r="CJ65" s="284">
        <f t="shared" si="33"/>
        <v>15.288000106811523</v>
      </c>
      <c r="CK65" s="280"/>
      <c r="CL65" s="280" t="str">
        <f t="shared" si="34"/>
        <v>PDW1A1B PC</v>
      </c>
      <c r="CM65" s="280">
        <v>61.7</v>
      </c>
      <c r="CN65" s="284">
        <f t="shared" si="35"/>
        <v>15.720100402832031</v>
      </c>
    </row>
    <row r="66" spans="1:92" ht="15" customHeight="1" x14ac:dyDescent="0.25">
      <c r="A66" s="286" t="s">
        <v>125</v>
      </c>
      <c r="B66" s="286">
        <v>155.60099792480469</v>
      </c>
      <c r="C66" s="287">
        <v>158.239501953125</v>
      </c>
      <c r="D66" s="287">
        <v>155.86489868164062</v>
      </c>
      <c r="E66" s="287">
        <v>148.67999267578125</v>
      </c>
      <c r="F66" s="287">
        <v>151.54350280761719</v>
      </c>
      <c r="G66" s="287">
        <v>144.73500061035156</v>
      </c>
      <c r="H66" s="287">
        <v>147.68089294433594</v>
      </c>
      <c r="I66" s="287">
        <v>145.88909912109375</v>
      </c>
      <c r="J66" s="287">
        <v>130.22239685058594</v>
      </c>
      <c r="K66" s="287">
        <v>142.53799438476562</v>
      </c>
      <c r="L66" s="287">
        <v>136.41299438476562</v>
      </c>
      <c r="M66" s="288">
        <v>139.44729614257812</v>
      </c>
      <c r="N66" s="289">
        <f t="shared" si="5"/>
        <v>1756.8545684814453</v>
      </c>
      <c r="O66" s="304"/>
      <c r="R66" s="272" t="str">
        <f t="shared" si="6"/>
        <v>PDWCUT D24</v>
      </c>
      <c r="S66" s="290">
        <f t="shared" si="52"/>
        <v>155.15</v>
      </c>
      <c r="T66" s="291">
        <f t="shared" si="36"/>
        <v>155.60099792480469</v>
      </c>
      <c r="U66" s="270"/>
      <c r="V66" s="272" t="str">
        <f t="shared" si="7"/>
        <v>PDWCUT D24</v>
      </c>
      <c r="W66" s="290">
        <f t="shared" si="37"/>
        <v>155.38</v>
      </c>
      <c r="X66" s="291">
        <f t="shared" si="8"/>
        <v>158.239501953125</v>
      </c>
      <c r="Y66" s="270"/>
      <c r="Z66" s="272" t="str">
        <f t="shared" si="9"/>
        <v>PDWCUT D24</v>
      </c>
      <c r="AA66" s="290">
        <f t="shared" si="38"/>
        <v>149.71</v>
      </c>
      <c r="AB66" s="291">
        <f t="shared" si="10"/>
        <v>155.86489868164062</v>
      </c>
      <c r="AC66" s="270"/>
      <c r="AD66" s="272" t="str">
        <f t="shared" si="11"/>
        <v>PDWCUT D24</v>
      </c>
      <c r="AE66" s="290">
        <f t="shared" si="56"/>
        <v>460.24</v>
      </c>
      <c r="AF66" s="291">
        <f t="shared" si="57"/>
        <v>469.70539855957031</v>
      </c>
      <c r="AG66" s="271"/>
      <c r="AH66" s="271"/>
      <c r="AI66" s="271"/>
      <c r="AJ66" s="271"/>
      <c r="AK66" s="271"/>
      <c r="AL66" s="272" t="str">
        <f t="shared" si="14"/>
        <v>PDWCUT D24</v>
      </c>
      <c r="AM66" s="273">
        <f t="shared" si="15"/>
        <v>137.09</v>
      </c>
      <c r="AN66" s="273">
        <f t="shared" si="16"/>
        <v>148.67999267578125</v>
      </c>
      <c r="AO66" s="274"/>
      <c r="AP66" s="275" t="str">
        <f t="shared" si="17"/>
        <v>PDWCUT D24</v>
      </c>
      <c r="AQ66" s="275">
        <f t="shared" si="18"/>
        <v>132.26</v>
      </c>
      <c r="AR66" s="273">
        <f t="shared" si="19"/>
        <v>151.54350280761719</v>
      </c>
      <c r="AS66" s="276"/>
      <c r="AT66" s="275" t="str">
        <f t="shared" si="20"/>
        <v>PDWCUT D24</v>
      </c>
      <c r="AU66" s="273">
        <f t="shared" si="21"/>
        <v>135.18</v>
      </c>
      <c r="AV66" s="273">
        <f t="shared" si="22"/>
        <v>144.73500061035156</v>
      </c>
      <c r="AW66" s="277"/>
      <c r="AX66" s="275" t="str">
        <f t="shared" si="23"/>
        <v>PDWCUT D24</v>
      </c>
      <c r="AY66" s="273">
        <f t="shared" si="58"/>
        <v>404.53000000000003</v>
      </c>
      <c r="AZ66" s="273">
        <f t="shared" si="59"/>
        <v>444.95849609375</v>
      </c>
      <c r="BA66" s="270"/>
      <c r="BB66" s="270"/>
      <c r="BC66" s="270"/>
      <c r="BD66" s="270"/>
      <c r="BE66" s="270"/>
      <c r="BF66" s="280"/>
      <c r="BG66" s="272" t="str">
        <f t="shared" si="26"/>
        <v>PDWCUT D24</v>
      </c>
      <c r="BH66" s="290">
        <f t="shared" si="27"/>
        <v>131.79</v>
      </c>
      <c r="BI66" s="291">
        <f t="shared" si="41"/>
        <v>147.68089294433594</v>
      </c>
      <c r="BJ66" s="280"/>
      <c r="BK66" s="272" t="str">
        <f t="shared" si="28"/>
        <v>PDWCUT D24</v>
      </c>
      <c r="BL66" s="290">
        <f t="shared" si="42"/>
        <v>129.25</v>
      </c>
      <c r="BM66" s="290">
        <f t="shared" si="43"/>
        <v>145.88909912109375</v>
      </c>
      <c r="BN66" s="281"/>
      <c r="BO66" s="292" t="str">
        <f t="shared" si="44"/>
        <v>PDWCUT D24</v>
      </c>
      <c r="BP66" s="290">
        <f t="shared" si="45"/>
        <v>114.42</v>
      </c>
      <c r="BQ66" s="291">
        <f t="shared" si="53"/>
        <v>130.22239685058594</v>
      </c>
      <c r="BR66" s="280"/>
      <c r="BS66" s="293" t="str">
        <f t="shared" si="46"/>
        <v>PDWCUT D24</v>
      </c>
      <c r="BT66" s="290">
        <f t="shared" si="54"/>
        <v>375.46</v>
      </c>
      <c r="BU66" s="291">
        <f t="shared" si="55"/>
        <v>423.79238891601562</v>
      </c>
      <c r="BV66" s="281"/>
      <c r="BW66" s="281"/>
      <c r="BX66" s="281"/>
      <c r="BY66" s="281"/>
      <c r="BZ66" s="281"/>
      <c r="CA66" s="281"/>
      <c r="CB66" s="281"/>
      <c r="CC66" s="280"/>
      <c r="CD66" s="280" t="str">
        <f t="shared" si="31"/>
        <v>PDWCUT D24</v>
      </c>
      <c r="CE66" s="280">
        <v>62.7</v>
      </c>
      <c r="CF66" s="280">
        <f t="shared" si="47"/>
        <v>142.53799438476562</v>
      </c>
      <c r="CG66" s="280"/>
      <c r="CH66" s="280" t="str">
        <f t="shared" si="32"/>
        <v>PDWCUT D24</v>
      </c>
      <c r="CI66" s="280">
        <v>62.7</v>
      </c>
      <c r="CJ66" s="284">
        <f t="shared" si="33"/>
        <v>136.41299438476562</v>
      </c>
      <c r="CK66" s="280"/>
      <c r="CL66" s="280" t="str">
        <f t="shared" si="34"/>
        <v>PDWCUT D24</v>
      </c>
      <c r="CM66" s="280">
        <v>62.7</v>
      </c>
      <c r="CN66" s="284">
        <f t="shared" si="35"/>
        <v>139.44729614257812</v>
      </c>
    </row>
    <row r="67" spans="1:92" ht="15" customHeight="1" x14ac:dyDescent="0.25">
      <c r="A67" s="286" t="s">
        <v>126</v>
      </c>
      <c r="B67" s="286">
        <v>4.4310002326965332</v>
      </c>
      <c r="C67" s="287">
        <v>4.5538997650146484</v>
      </c>
      <c r="D67" s="287">
        <v>4.5352997779846191</v>
      </c>
      <c r="E67" s="287">
        <v>4.3680000305175781</v>
      </c>
      <c r="F67" s="287">
        <v>4.4918999671936035</v>
      </c>
      <c r="G67" s="287">
        <v>4.3260002136230469</v>
      </c>
      <c r="H67" s="287">
        <v>4.4485001564025879</v>
      </c>
      <c r="I67" s="287">
        <v>4.4299001693725586</v>
      </c>
      <c r="J67" s="287">
        <v>3.9816000461578369</v>
      </c>
      <c r="K67" s="287">
        <v>4.3864998817443848</v>
      </c>
      <c r="L67" s="287">
        <v>4.2239999771118164</v>
      </c>
      <c r="M67" s="288">
        <v>4.3461999893188477</v>
      </c>
      <c r="N67" s="289">
        <f t="shared" si="5"/>
        <v>52.522800207138062</v>
      </c>
      <c r="O67" s="304"/>
      <c r="R67" s="272" t="str">
        <f t="shared" si="6"/>
        <v>PDWCUT PC</v>
      </c>
      <c r="S67" s="290">
        <f t="shared" si="52"/>
        <v>4.95</v>
      </c>
      <c r="T67" s="291">
        <f t="shared" si="36"/>
        <v>4.4310002326965332</v>
      </c>
      <c r="U67" s="270"/>
      <c r="V67" s="272" t="str">
        <f t="shared" si="7"/>
        <v>PDWCUT PC</v>
      </c>
      <c r="W67" s="290">
        <f t="shared" si="37"/>
        <v>5.27</v>
      </c>
      <c r="X67" s="291">
        <f t="shared" si="8"/>
        <v>4.5538997650146484</v>
      </c>
      <c r="Y67" s="270"/>
      <c r="Z67" s="272" t="str">
        <f t="shared" si="9"/>
        <v>PDWCUT PC</v>
      </c>
      <c r="AA67" s="290">
        <f t="shared" si="38"/>
        <v>5.32</v>
      </c>
      <c r="AB67" s="291">
        <f t="shared" si="10"/>
        <v>4.5352997779846191</v>
      </c>
      <c r="AC67" s="270"/>
      <c r="AD67" s="272" t="str">
        <f t="shared" si="11"/>
        <v>PDWCUT PC</v>
      </c>
      <c r="AE67" s="290">
        <f t="shared" si="56"/>
        <v>15.54</v>
      </c>
      <c r="AF67" s="291">
        <f t="shared" si="57"/>
        <v>13.520199775695801</v>
      </c>
      <c r="AG67" s="271"/>
      <c r="AH67" s="271"/>
      <c r="AI67" s="271"/>
      <c r="AJ67" s="271"/>
      <c r="AK67" s="271"/>
      <c r="AL67" s="272" t="str">
        <f t="shared" si="14"/>
        <v>PDWCUT PC</v>
      </c>
      <c r="AM67" s="273">
        <f t="shared" si="15"/>
        <v>5.3</v>
      </c>
      <c r="AN67" s="273">
        <f t="shared" si="16"/>
        <v>4.3680000305175781</v>
      </c>
      <c r="AO67" s="274"/>
      <c r="AP67" s="275" t="str">
        <f>AL67</f>
        <v>PDWCUT PC</v>
      </c>
      <c r="AQ67" s="275">
        <f t="shared" si="18"/>
        <v>4.33</v>
      </c>
      <c r="AR67" s="273">
        <f t="shared" si="19"/>
        <v>4.4918999671936035</v>
      </c>
      <c r="AS67" s="276"/>
      <c r="AT67" s="275" t="str">
        <f t="shared" si="20"/>
        <v>PDWCUT PC</v>
      </c>
      <c r="AU67" s="273">
        <f t="shared" si="21"/>
        <v>4.32</v>
      </c>
      <c r="AV67" s="273">
        <f t="shared" si="22"/>
        <v>4.3260002136230469</v>
      </c>
      <c r="AW67" s="277"/>
      <c r="AX67" s="275" t="str">
        <f t="shared" si="23"/>
        <v>PDWCUT PC</v>
      </c>
      <c r="AY67" s="273">
        <f t="shared" si="58"/>
        <v>13.95</v>
      </c>
      <c r="AZ67" s="273">
        <f t="shared" si="59"/>
        <v>13.185900211334229</v>
      </c>
      <c r="BA67" s="270"/>
      <c r="BB67" s="270"/>
      <c r="BC67" s="270"/>
      <c r="BD67" s="270"/>
      <c r="BE67" s="270"/>
      <c r="BF67" s="280"/>
      <c r="BG67" s="272" t="str">
        <f t="shared" si="26"/>
        <v>PDWCUT PC</v>
      </c>
      <c r="BH67" s="290">
        <f t="shared" si="27"/>
        <v>3.68</v>
      </c>
      <c r="BI67" s="291">
        <f t="shared" si="41"/>
        <v>4.4485001564025879</v>
      </c>
      <c r="BJ67" s="280"/>
      <c r="BK67" s="272" t="str">
        <f t="shared" si="28"/>
        <v>PDWCUT PC</v>
      </c>
      <c r="BL67" s="290">
        <f t="shared" si="42"/>
        <v>2.74</v>
      </c>
      <c r="BM67" s="290">
        <f t="shared" si="43"/>
        <v>4.4299001693725586</v>
      </c>
      <c r="BN67" s="281"/>
      <c r="BO67" s="292" t="str">
        <f t="shared" si="44"/>
        <v>PDWCUT PC</v>
      </c>
      <c r="BP67" s="290">
        <f t="shared" si="45"/>
        <v>2.81</v>
      </c>
      <c r="BQ67" s="291">
        <f t="shared" si="53"/>
        <v>3.9816000461578369</v>
      </c>
      <c r="BR67" s="280"/>
      <c r="BS67" s="293" t="str">
        <f t="shared" si="46"/>
        <v>PDWCUT PC</v>
      </c>
      <c r="BT67" s="290">
        <f t="shared" si="54"/>
        <v>9.23</v>
      </c>
      <c r="BU67" s="291">
        <f t="shared" si="55"/>
        <v>12.860000371932983</v>
      </c>
      <c r="BV67" s="281"/>
      <c r="BW67" s="281"/>
      <c r="BX67" s="281"/>
      <c r="BY67" s="281"/>
      <c r="BZ67" s="281"/>
      <c r="CA67" s="281"/>
      <c r="CB67" s="281"/>
      <c r="CC67" s="280"/>
      <c r="CD67" s="280" t="str">
        <f t="shared" si="31"/>
        <v>PDWCUT PC</v>
      </c>
      <c r="CE67" s="280">
        <v>63.7</v>
      </c>
      <c r="CF67" s="280">
        <f t="shared" si="47"/>
        <v>4.3864998817443848</v>
      </c>
      <c r="CG67" s="280"/>
      <c r="CH67" s="280" t="str">
        <f t="shared" si="32"/>
        <v>PDWCUT PC</v>
      </c>
      <c r="CI67" s="280">
        <v>63.7</v>
      </c>
      <c r="CJ67" s="284">
        <f t="shared" si="33"/>
        <v>4.2239999771118164</v>
      </c>
      <c r="CK67" s="280"/>
      <c r="CL67" s="280" t="str">
        <f t="shared" si="34"/>
        <v>PDWCUT PC</v>
      </c>
      <c r="CM67" s="280">
        <v>63.7</v>
      </c>
      <c r="CN67" s="284">
        <f t="shared" si="35"/>
        <v>4.3461999893188477</v>
      </c>
    </row>
    <row r="68" spans="1:92" ht="15" customHeight="1" x14ac:dyDescent="0.25">
      <c r="A68" s="286" t="s">
        <v>127</v>
      </c>
      <c r="B68" s="286">
        <v>41.702999114990234</v>
      </c>
      <c r="C68" s="287">
        <v>42.631198883056641</v>
      </c>
      <c r="D68" s="287">
        <v>42.178600311279297</v>
      </c>
      <c r="E68" s="287">
        <v>40.4010009765625</v>
      </c>
      <c r="F68" s="287">
        <v>41.326099395751953</v>
      </c>
      <c r="G68" s="287">
        <v>39.603000640869141</v>
      </c>
      <c r="H68" s="287">
        <v>40.526298522949219</v>
      </c>
      <c r="I68" s="287">
        <v>40.138801574707031</v>
      </c>
      <c r="J68" s="287">
        <v>35.918399810791016</v>
      </c>
      <c r="K68" s="287">
        <v>39.4010009765625</v>
      </c>
      <c r="L68" s="287">
        <v>37.782001495361328</v>
      </c>
      <c r="M68" s="288">
        <v>38.694198608398437</v>
      </c>
      <c r="N68" s="289">
        <f t="shared" si="5"/>
        <v>480.3036003112793</v>
      </c>
      <c r="O68" s="304"/>
      <c r="R68" s="272" t="str">
        <f t="shared" si="6"/>
        <v>PDWMT D24</v>
      </c>
      <c r="S68" s="290">
        <f t="shared" ref="S68:S86" si="60">VLOOKUP(R68,$R$118:$S$208,2,FALSE)</f>
        <v>40.99</v>
      </c>
      <c r="T68" s="291">
        <f t="shared" si="36"/>
        <v>41.702999114990234</v>
      </c>
      <c r="U68" s="270"/>
      <c r="V68" s="272" t="str">
        <f t="shared" si="7"/>
        <v>PDWMT D24</v>
      </c>
      <c r="W68" s="290">
        <f t="shared" si="37"/>
        <v>42.2</v>
      </c>
      <c r="X68" s="291">
        <f t="shared" si="8"/>
        <v>42.631198883056641</v>
      </c>
      <c r="Y68" s="270"/>
      <c r="Z68" s="272" t="str">
        <f t="shared" si="9"/>
        <v>PDWMT D24</v>
      </c>
      <c r="AA68" s="290">
        <f>VLOOKUP(Z68,$Z$118:$AA$209,2,FALSE)</f>
        <v>38.44</v>
      </c>
      <c r="AB68" s="291">
        <f t="shared" si="10"/>
        <v>42.178600311279297</v>
      </c>
      <c r="AC68" s="270"/>
      <c r="AD68" s="272" t="str">
        <f t="shared" si="11"/>
        <v>PDWMT D24</v>
      </c>
      <c r="AE68" s="290">
        <f t="shared" si="56"/>
        <v>121.63</v>
      </c>
      <c r="AF68" s="291">
        <f t="shared" si="57"/>
        <v>126.51279830932617</v>
      </c>
      <c r="AG68" s="271"/>
      <c r="AH68" s="271"/>
      <c r="AI68" s="271"/>
      <c r="AJ68" s="271"/>
      <c r="AK68" s="271"/>
      <c r="AL68" s="272" t="str">
        <f t="shared" si="14"/>
        <v>PDWMT D24</v>
      </c>
      <c r="AM68" s="273">
        <f t="shared" si="15"/>
        <v>45.19</v>
      </c>
      <c r="AN68" s="273">
        <f t="shared" si="16"/>
        <v>40.4010009765625</v>
      </c>
      <c r="AO68" s="274"/>
      <c r="AP68" s="275" t="str">
        <f t="shared" si="17"/>
        <v>PDWMT D24</v>
      </c>
      <c r="AQ68" s="275">
        <f t="shared" si="18"/>
        <v>47.11</v>
      </c>
      <c r="AR68" s="273">
        <f t="shared" si="19"/>
        <v>41.326099395751953</v>
      </c>
      <c r="AS68" s="276"/>
      <c r="AT68" s="275" t="str">
        <f t="shared" si="20"/>
        <v>PDWMT D24</v>
      </c>
      <c r="AU68" s="273">
        <f t="shared" si="21"/>
        <v>43.83</v>
      </c>
      <c r="AV68" s="273">
        <f t="shared" si="22"/>
        <v>39.603000640869141</v>
      </c>
      <c r="AW68" s="277"/>
      <c r="AX68" s="275" t="str">
        <f t="shared" si="23"/>
        <v>PDWMT D24</v>
      </c>
      <c r="AY68" s="273">
        <f t="shared" si="58"/>
        <v>136.13</v>
      </c>
      <c r="AZ68" s="273">
        <f t="shared" si="59"/>
        <v>121.33010101318359</v>
      </c>
      <c r="BA68" s="270"/>
      <c r="BB68" s="270"/>
      <c r="BC68" s="270"/>
      <c r="BD68" s="270"/>
      <c r="BE68" s="270"/>
      <c r="BF68" s="280"/>
      <c r="BG68" s="272" t="str">
        <f t="shared" si="26"/>
        <v>PDWMT D24</v>
      </c>
      <c r="BH68" s="290">
        <f t="shared" si="27"/>
        <v>44.06</v>
      </c>
      <c r="BI68" s="291">
        <f t="shared" si="41"/>
        <v>40.526298522949219</v>
      </c>
      <c r="BJ68" s="280"/>
      <c r="BK68" s="272" t="str">
        <f t="shared" si="28"/>
        <v>PDWMT D24</v>
      </c>
      <c r="BL68" s="290">
        <f t="shared" si="42"/>
        <v>32.51</v>
      </c>
      <c r="BM68" s="290">
        <f t="shared" si="43"/>
        <v>40.138801574707031</v>
      </c>
      <c r="BN68" s="281"/>
      <c r="BO68" s="292" t="str">
        <f t="shared" si="44"/>
        <v>PDWMT D24</v>
      </c>
      <c r="BP68" s="290">
        <f t="shared" si="45"/>
        <v>29.49</v>
      </c>
      <c r="BQ68" s="291">
        <f t="shared" si="53"/>
        <v>35.918399810791016</v>
      </c>
      <c r="BR68" s="280"/>
      <c r="BS68" s="293" t="str">
        <f t="shared" si="46"/>
        <v>PDWMT D24</v>
      </c>
      <c r="BT68" s="290">
        <f t="shared" si="54"/>
        <v>106.05999999999999</v>
      </c>
      <c r="BU68" s="291">
        <f t="shared" si="55"/>
        <v>116.58349990844727</v>
      </c>
      <c r="BV68" s="281"/>
      <c r="BW68" s="281"/>
      <c r="BX68" s="281"/>
      <c r="BY68" s="281"/>
      <c r="BZ68" s="281"/>
      <c r="CA68" s="281"/>
      <c r="CB68" s="281"/>
      <c r="CC68" s="280"/>
      <c r="CD68" s="280" t="str">
        <f t="shared" si="31"/>
        <v>PDWMT D24</v>
      </c>
      <c r="CE68" s="280">
        <v>64.7</v>
      </c>
      <c r="CF68" s="280">
        <f t="shared" si="47"/>
        <v>39.4010009765625</v>
      </c>
      <c r="CG68" s="280"/>
      <c r="CH68" s="280" t="str">
        <f t="shared" si="32"/>
        <v>PDWMT D24</v>
      </c>
      <c r="CI68" s="280">
        <v>64.7</v>
      </c>
      <c r="CJ68" s="284">
        <f t="shared" si="33"/>
        <v>37.782001495361328</v>
      </c>
      <c r="CK68" s="280"/>
      <c r="CL68" s="280" t="str">
        <f t="shared" si="34"/>
        <v>PDWMT D24</v>
      </c>
      <c r="CM68" s="280">
        <v>64.7</v>
      </c>
      <c r="CN68" s="284">
        <f t="shared" si="35"/>
        <v>38.694198608398437</v>
      </c>
    </row>
    <row r="69" spans="1:92" ht="15" customHeight="1" x14ac:dyDescent="0.25">
      <c r="A69" s="286" t="s">
        <v>128</v>
      </c>
      <c r="B69" s="286">
        <v>94.739997863769531</v>
      </c>
      <c r="C69" s="287">
        <v>96.844001770019531</v>
      </c>
      <c r="D69" s="287">
        <v>95.833396911621094</v>
      </c>
      <c r="E69" s="287">
        <v>91.793998718261719</v>
      </c>
      <c r="F69" s="287">
        <v>93.911399841308594</v>
      </c>
      <c r="G69" s="287">
        <v>90</v>
      </c>
      <c r="H69" s="287">
        <v>92.1134033203125</v>
      </c>
      <c r="I69" s="287">
        <v>91.251602172851563</v>
      </c>
      <c r="J69" s="287">
        <v>81.6676025390625</v>
      </c>
      <c r="K69" s="287">
        <v>89.599296569824219</v>
      </c>
      <c r="L69" s="287">
        <v>85.944000244140625</v>
      </c>
      <c r="M69" s="288">
        <v>88.03070068359375</v>
      </c>
      <c r="N69" s="289">
        <f t="shared" si="5"/>
        <v>1091.7294006347656</v>
      </c>
      <c r="O69" s="304"/>
      <c r="R69" s="272" t="str">
        <f t="shared" si="6"/>
        <v>PDWPLT2 D24</v>
      </c>
      <c r="S69" s="290">
        <f t="shared" si="60"/>
        <v>101.55</v>
      </c>
      <c r="T69" s="291">
        <f t="shared" si="36"/>
        <v>94.739997863769531</v>
      </c>
      <c r="U69" s="270"/>
      <c r="V69" s="272" t="str">
        <f t="shared" si="7"/>
        <v>PDWPLT2 D24</v>
      </c>
      <c r="W69" s="290">
        <f t="shared" si="37"/>
        <v>107.86</v>
      </c>
      <c r="X69" s="291">
        <f t="shared" si="8"/>
        <v>96.844001770019531</v>
      </c>
      <c r="Y69" s="270"/>
      <c r="Z69" s="272" t="str">
        <f t="shared" si="9"/>
        <v>PDWPLT2 D24</v>
      </c>
      <c r="AA69" s="290">
        <f t="shared" si="38"/>
        <v>117.65</v>
      </c>
      <c r="AB69" s="291">
        <f t="shared" si="10"/>
        <v>95.833396911621094</v>
      </c>
      <c r="AC69" s="270"/>
      <c r="AD69" s="272" t="str">
        <f t="shared" si="11"/>
        <v>PDWPLT2 D24</v>
      </c>
      <c r="AE69" s="290">
        <f t="shared" si="56"/>
        <v>327.06</v>
      </c>
      <c r="AF69" s="291">
        <f t="shared" si="57"/>
        <v>287.41739654541016</v>
      </c>
      <c r="AG69" s="271"/>
      <c r="AH69" s="271"/>
      <c r="AI69" s="271"/>
      <c r="AJ69" s="271"/>
      <c r="AK69" s="271"/>
      <c r="AL69" s="272" t="str">
        <f t="shared" si="14"/>
        <v>PDWPLT2 D24</v>
      </c>
      <c r="AM69" s="273">
        <f t="shared" si="15"/>
        <v>115.37</v>
      </c>
      <c r="AN69" s="273">
        <f t="shared" si="16"/>
        <v>91.793998718261719</v>
      </c>
      <c r="AO69" s="274"/>
      <c r="AP69" s="275" t="str">
        <f t="shared" si="17"/>
        <v>PDWPLT2 D24</v>
      </c>
      <c r="AQ69" s="275">
        <f t="shared" si="18"/>
        <v>108.39</v>
      </c>
      <c r="AR69" s="273">
        <f t="shared" si="19"/>
        <v>93.911399841308594</v>
      </c>
      <c r="AS69" s="276"/>
      <c r="AT69" s="275" t="str">
        <f t="shared" si="20"/>
        <v>PDWPLT2 D24</v>
      </c>
      <c r="AU69" s="273">
        <f t="shared" si="21"/>
        <v>100.21</v>
      </c>
      <c r="AV69" s="273">
        <f t="shared" si="22"/>
        <v>90</v>
      </c>
      <c r="AW69" s="277"/>
      <c r="AX69" s="275" t="str">
        <f t="shared" si="23"/>
        <v>PDWPLT2 D24</v>
      </c>
      <c r="AY69" s="273">
        <f t="shared" si="58"/>
        <v>323.96999999999997</v>
      </c>
      <c r="AZ69" s="273">
        <f t="shared" si="59"/>
        <v>275.70539855957031</v>
      </c>
      <c r="BA69" s="270"/>
      <c r="BB69" s="270"/>
      <c r="BC69" s="270"/>
      <c r="BD69" s="270"/>
      <c r="BE69" s="270"/>
      <c r="BF69" s="280"/>
      <c r="BG69" s="272" t="str">
        <f t="shared" si="26"/>
        <v>PDWPLT2 D24</v>
      </c>
      <c r="BH69" s="290">
        <f t="shared" si="27"/>
        <v>94.87</v>
      </c>
      <c r="BI69" s="291">
        <f t="shared" si="41"/>
        <v>92.1134033203125</v>
      </c>
      <c r="BJ69" s="280"/>
      <c r="BK69" s="272" t="str">
        <f t="shared" si="28"/>
        <v>PDWPLT2 D24</v>
      </c>
      <c r="BL69" s="290">
        <f t="shared" si="42"/>
        <v>87.87</v>
      </c>
      <c r="BM69" s="290">
        <f t="shared" si="43"/>
        <v>91.251602172851563</v>
      </c>
      <c r="BN69" s="281"/>
      <c r="BO69" s="292" t="str">
        <f t="shared" si="44"/>
        <v>PDWPLT2 D24</v>
      </c>
      <c r="BP69" s="290">
        <f>IFERROR(VLOOKUP($BO69,$BO$111:$BP$195,2,FALSE),0)</f>
        <v>75.680000000000007</v>
      </c>
      <c r="BQ69" s="291">
        <f t="shared" si="53"/>
        <v>81.6676025390625</v>
      </c>
      <c r="BR69" s="280"/>
      <c r="BS69" s="293" t="str">
        <f t="shared" si="46"/>
        <v>PDWPLT2 D24</v>
      </c>
      <c r="BT69" s="290">
        <f t="shared" si="54"/>
        <v>258.42</v>
      </c>
      <c r="BU69" s="291">
        <f t="shared" si="55"/>
        <v>265.03260803222656</v>
      </c>
      <c r="BV69" s="281"/>
      <c r="BW69" s="281"/>
      <c r="BX69" s="281"/>
      <c r="BY69" s="281"/>
      <c r="BZ69" s="281"/>
      <c r="CA69" s="281"/>
      <c r="CB69" s="281"/>
      <c r="CC69" s="280"/>
      <c r="CD69" s="280" t="str">
        <f t="shared" si="31"/>
        <v>PDWPLT2 D24</v>
      </c>
      <c r="CE69" s="280">
        <v>65.7</v>
      </c>
      <c r="CF69" s="280">
        <f t="shared" si="47"/>
        <v>89.599296569824219</v>
      </c>
      <c r="CG69" s="280"/>
      <c r="CH69" s="280" t="str">
        <f t="shared" si="32"/>
        <v>PDWPLT2 D24</v>
      </c>
      <c r="CI69" s="280">
        <v>65.7</v>
      </c>
      <c r="CJ69" s="284">
        <f t="shared" si="33"/>
        <v>85.944000244140625</v>
      </c>
      <c r="CK69" s="280"/>
      <c r="CL69" s="280" t="str">
        <f t="shared" si="34"/>
        <v>PDWPLT2 D24</v>
      </c>
      <c r="CM69" s="280">
        <v>65.7</v>
      </c>
      <c r="CN69" s="284">
        <f t="shared" si="35"/>
        <v>88.03070068359375</v>
      </c>
    </row>
    <row r="70" spans="1:92" ht="15" customHeight="1" x14ac:dyDescent="0.25">
      <c r="A70" s="286" t="s">
        <v>129</v>
      </c>
      <c r="B70" s="286">
        <v>19.865999221801758</v>
      </c>
      <c r="C70" s="287">
        <v>20.388700485229492</v>
      </c>
      <c r="D70" s="287">
        <v>20.252300262451172</v>
      </c>
      <c r="E70" s="287">
        <v>19.464000701904297</v>
      </c>
      <c r="F70" s="287">
        <v>19.979499816894531</v>
      </c>
      <c r="G70" s="287">
        <v>19.205999374389648</v>
      </c>
      <c r="H70" s="287">
        <v>19.712900161743164</v>
      </c>
      <c r="I70" s="287">
        <v>19.582700729370117</v>
      </c>
      <c r="J70" s="287">
        <v>17.572799682617188</v>
      </c>
      <c r="K70" s="287">
        <v>19.325399398803711</v>
      </c>
      <c r="L70" s="287">
        <v>18.579000473022461</v>
      </c>
      <c r="M70" s="288">
        <v>19.071199417114258</v>
      </c>
      <c r="N70" s="289">
        <f t="shared" si="5"/>
        <v>233.0004997253418</v>
      </c>
      <c r="O70" s="304"/>
      <c r="R70" s="272" t="str">
        <f t="shared" si="6"/>
        <v>PDWPLT2 PC</v>
      </c>
      <c r="S70" s="290">
        <f t="shared" si="60"/>
        <v>30.99</v>
      </c>
      <c r="T70" s="291">
        <f t="shared" si="36"/>
        <v>19.865999221801758</v>
      </c>
      <c r="U70" s="270"/>
      <c r="V70" s="272" t="str">
        <f t="shared" si="7"/>
        <v>PDWPLT2 PC</v>
      </c>
      <c r="W70" s="290">
        <f t="shared" si="37"/>
        <v>31.92</v>
      </c>
      <c r="X70" s="291">
        <f t="shared" si="8"/>
        <v>20.388700485229492</v>
      </c>
      <c r="Y70" s="270"/>
      <c r="Z70" s="272" t="str">
        <f t="shared" si="9"/>
        <v>PDWPLT2 PC</v>
      </c>
      <c r="AA70" s="290">
        <f t="shared" si="38"/>
        <v>28.08</v>
      </c>
      <c r="AB70" s="291">
        <f t="shared" si="10"/>
        <v>20.252300262451172</v>
      </c>
      <c r="AC70" s="270"/>
      <c r="AD70" s="272" t="str">
        <f t="shared" si="11"/>
        <v>PDWPLT2 PC</v>
      </c>
      <c r="AE70" s="290">
        <f t="shared" si="56"/>
        <v>90.99</v>
      </c>
      <c r="AF70" s="291">
        <f t="shared" si="57"/>
        <v>60.506999969482422</v>
      </c>
      <c r="AG70" s="271"/>
      <c r="AH70" s="271"/>
      <c r="AI70" s="271"/>
      <c r="AJ70" s="271"/>
      <c r="AK70" s="271"/>
      <c r="AL70" s="272" t="str">
        <f t="shared" si="14"/>
        <v>PDWPLT2 PC</v>
      </c>
      <c r="AM70" s="273">
        <f t="shared" si="15"/>
        <v>28.24</v>
      </c>
      <c r="AN70" s="273">
        <f t="shared" si="16"/>
        <v>19.464000701904297</v>
      </c>
      <c r="AO70" s="274"/>
      <c r="AP70" s="275" t="str">
        <f t="shared" si="17"/>
        <v>PDWPLT2 PC</v>
      </c>
      <c r="AQ70" s="275">
        <f t="shared" si="18"/>
        <v>27.83</v>
      </c>
      <c r="AR70" s="273">
        <f t="shared" si="19"/>
        <v>19.979499816894531</v>
      </c>
      <c r="AS70" s="276"/>
      <c r="AT70" s="275" t="str">
        <f t="shared" si="20"/>
        <v>PDWPLT2 PC</v>
      </c>
      <c r="AU70" s="273">
        <f t="shared" si="21"/>
        <v>26.88</v>
      </c>
      <c r="AV70" s="273">
        <f t="shared" si="22"/>
        <v>19.205999374389648</v>
      </c>
      <c r="AW70" s="277"/>
      <c r="AX70" s="275" t="str">
        <f t="shared" si="23"/>
        <v>PDWPLT2 PC</v>
      </c>
      <c r="AY70" s="273">
        <f t="shared" si="58"/>
        <v>82.949999999999989</v>
      </c>
      <c r="AZ70" s="273">
        <f t="shared" si="59"/>
        <v>58.649499893188477</v>
      </c>
      <c r="BA70" s="270"/>
      <c r="BB70" s="270"/>
      <c r="BC70" s="270"/>
      <c r="BD70" s="270"/>
      <c r="BE70" s="270"/>
      <c r="BF70" s="280"/>
      <c r="BG70" s="272" t="str">
        <f t="shared" si="26"/>
        <v>PDWPLT2 PC</v>
      </c>
      <c r="BH70" s="290">
        <f t="shared" si="27"/>
        <v>25.32</v>
      </c>
      <c r="BI70" s="291">
        <f t="shared" si="41"/>
        <v>19.712900161743164</v>
      </c>
      <c r="BJ70" s="280"/>
      <c r="BK70" s="272" t="str">
        <f t="shared" si="28"/>
        <v>PDWPLT2 PC</v>
      </c>
      <c r="BL70" s="290">
        <f t="shared" si="42"/>
        <v>20.87</v>
      </c>
      <c r="BM70" s="290">
        <f>IFERROR(VLOOKUP($BK70,$A$6:$M$105,9,FALSE),"")</f>
        <v>19.582700729370117</v>
      </c>
      <c r="BN70" s="281"/>
      <c r="BO70" s="292" t="str">
        <f t="shared" si="44"/>
        <v>PDWPLT2 PC</v>
      </c>
      <c r="BP70" s="290">
        <f t="shared" si="45"/>
        <v>19.71</v>
      </c>
      <c r="BQ70" s="291">
        <f t="shared" ref="BQ70:BQ86" si="61">IFERROR(VLOOKUP($BO70,$A$6:$M$105,10,FALSE),0)</f>
        <v>17.572799682617188</v>
      </c>
      <c r="BR70" s="280"/>
      <c r="BS70" s="293" t="str">
        <f t="shared" si="46"/>
        <v>PDWPLT2 PC</v>
      </c>
      <c r="BT70" s="290">
        <f t="shared" si="54"/>
        <v>65.900000000000006</v>
      </c>
      <c r="BU70" s="291">
        <f t="shared" si="55"/>
        <v>56.868400573730469</v>
      </c>
      <c r="BV70" s="281"/>
      <c r="BW70" s="281"/>
      <c r="BX70" s="281"/>
      <c r="BY70" s="281"/>
      <c r="BZ70" s="281"/>
      <c r="CA70" s="281"/>
      <c r="CB70" s="281"/>
      <c r="CC70" s="280"/>
      <c r="CD70" s="280" t="str">
        <f t="shared" si="31"/>
        <v>PDWPLT2 PC</v>
      </c>
      <c r="CE70" s="280">
        <v>66.7</v>
      </c>
      <c r="CF70" s="280">
        <f t="shared" si="47"/>
        <v>19.325399398803711</v>
      </c>
      <c r="CG70" s="280"/>
      <c r="CH70" s="280" t="str">
        <f t="shared" si="32"/>
        <v>PDWPLT2 PC</v>
      </c>
      <c r="CI70" s="280">
        <v>66.7</v>
      </c>
      <c r="CJ70" s="284">
        <f t="shared" si="33"/>
        <v>18.579000473022461</v>
      </c>
      <c r="CK70" s="280"/>
      <c r="CL70" s="280" t="str">
        <f t="shared" si="34"/>
        <v>PDWPLT2 PC</v>
      </c>
      <c r="CM70" s="280">
        <v>66.7</v>
      </c>
      <c r="CN70" s="284">
        <f t="shared" si="35"/>
        <v>19.071199417114258</v>
      </c>
    </row>
    <row r="71" spans="1:92" ht="15" customHeight="1" x14ac:dyDescent="0.25">
      <c r="A71" s="286" t="s">
        <v>130</v>
      </c>
      <c r="B71" s="286">
        <v>13.064999580383301</v>
      </c>
      <c r="C71" s="287">
        <v>13.382699966430664</v>
      </c>
      <c r="D71" s="287">
        <v>13.271100044250488</v>
      </c>
      <c r="E71" s="287">
        <v>12.734999656677246</v>
      </c>
      <c r="F71" s="287">
        <v>13.050999641418457</v>
      </c>
      <c r="G71" s="287">
        <v>12.524999618530273</v>
      </c>
      <c r="H71" s="287">
        <v>12.837100028991699</v>
      </c>
      <c r="I71" s="287">
        <v>12.73169994354248</v>
      </c>
      <c r="J71" s="287">
        <v>11.409999847412109</v>
      </c>
      <c r="K71" s="287">
        <v>12.533300399780273</v>
      </c>
      <c r="L71" s="287">
        <v>12.032999992370605</v>
      </c>
      <c r="M71" s="288">
        <v>12.338000297546387</v>
      </c>
      <c r="N71" s="289">
        <f t="shared" ref="N71:N86" si="62">SUM(B71:M71)</f>
        <v>151.91289901733398</v>
      </c>
      <c r="O71" s="304"/>
      <c r="R71" s="272" t="str">
        <f t="shared" ref="R71:R105" si="63">A71</f>
        <v>PDWPLT3 D24</v>
      </c>
      <c r="S71" s="290">
        <f t="shared" si="60"/>
        <v>8.31</v>
      </c>
      <c r="T71" s="291">
        <f t="shared" si="36"/>
        <v>13.064999580383301</v>
      </c>
      <c r="U71" s="270"/>
      <c r="V71" s="272" t="str">
        <f t="shared" ref="V71:V102" si="64">R71</f>
        <v>PDWPLT3 D24</v>
      </c>
      <c r="W71" s="290">
        <f t="shared" si="37"/>
        <v>8.8699999999999992</v>
      </c>
      <c r="X71" s="291">
        <f t="shared" ref="X71:X79" si="65">IFERROR(VLOOKUP(V71,$A$6:$M$105,3,FALSE),"")</f>
        <v>13.382699966430664</v>
      </c>
      <c r="Y71" s="270"/>
      <c r="Z71" s="272" t="str">
        <f t="shared" ref="Z71:Z98" si="66">R71</f>
        <v>PDWPLT3 D24</v>
      </c>
      <c r="AA71" s="290">
        <f t="shared" si="38"/>
        <v>8.15</v>
      </c>
      <c r="AB71" s="291">
        <f t="shared" ref="AB71:AB79" si="67">IFERROR(VLOOKUP(Z71,$A$6:$M$105,4,FALSE),"")</f>
        <v>13.271100044250488</v>
      </c>
      <c r="AC71" s="270"/>
      <c r="AD71" s="272" t="str">
        <f t="shared" ref="AD71:AD105" si="68">R71</f>
        <v>PDWPLT3 D24</v>
      </c>
      <c r="AE71" s="290">
        <f t="shared" si="56"/>
        <v>25.33</v>
      </c>
      <c r="AF71" s="291">
        <f t="shared" si="57"/>
        <v>39.718799591064453</v>
      </c>
      <c r="AG71" s="271"/>
      <c r="AH71" s="271"/>
      <c r="AI71" s="271"/>
      <c r="AJ71" s="271"/>
      <c r="AK71" s="271"/>
      <c r="AL71" s="272" t="str">
        <f t="shared" ref="AL71:AL105" si="69">AD71</f>
        <v>PDWPLT3 D24</v>
      </c>
      <c r="AM71" s="273">
        <f t="shared" ref="AM71" si="70">IFERROR(VLOOKUP(AL71,$AL$118:$AM$203,2,FALSE),0)</f>
        <v>8.25</v>
      </c>
      <c r="AN71" s="273">
        <f t="shared" ref="AN71:AN104" si="71">IFERROR(VLOOKUP(AL71,$A$6:$M$105,5,FALSE),"")</f>
        <v>12.734999656677246</v>
      </c>
      <c r="AO71" s="274"/>
      <c r="AP71" s="275" t="str">
        <f t="shared" ref="AP71:AP105" si="72">AL71</f>
        <v>PDWPLT3 D24</v>
      </c>
      <c r="AQ71" s="275">
        <f t="shared" ref="AQ71:AQ86" si="73">IFERROR(VLOOKUP(AP71,$AP$118:$AQ$203,2,FALSE),0)</f>
        <v>7.8</v>
      </c>
      <c r="AR71" s="273">
        <f t="shared" ref="AR71:AR104" si="74">IFERROR(VLOOKUP($AP71,$A$6:$M$105,6,FALSE),"")</f>
        <v>13.050999641418457</v>
      </c>
      <c r="AS71" s="276"/>
      <c r="AT71" s="275" t="str">
        <f t="shared" ref="AT71:AT105" si="75">AP71</f>
        <v>PDWPLT3 D24</v>
      </c>
      <c r="AU71" s="273">
        <f t="shared" ref="AU71:AU78" si="76">IFERROR(VLOOKUP(AT71,$AT$118:$AU$203,2,FALSE),0)</f>
        <v>6.86</v>
      </c>
      <c r="AV71" s="273">
        <f t="shared" ref="AV71:AV104" si="77">IFERROR(VLOOKUP($AT71,$A$6:$M$105,7,FALSE),"")</f>
        <v>12.524999618530273</v>
      </c>
      <c r="AW71" s="277"/>
      <c r="AX71" s="275" t="str">
        <f t="shared" ref="AX71:AX105" si="78">AT71</f>
        <v>PDWPLT3 D24</v>
      </c>
      <c r="AY71" s="273">
        <f t="shared" si="58"/>
        <v>22.91</v>
      </c>
      <c r="AZ71" s="273">
        <f t="shared" si="59"/>
        <v>38.310998916625977</v>
      </c>
      <c r="BA71" s="270"/>
      <c r="BB71" s="270"/>
      <c r="BC71" s="270"/>
      <c r="BD71" s="270"/>
      <c r="BE71" s="270"/>
      <c r="BF71" s="280"/>
      <c r="BG71" s="272" t="str">
        <f t="shared" ref="BG71:BG86" si="79">R71</f>
        <v>PDWPLT3 D24</v>
      </c>
      <c r="BH71" s="290">
        <f t="shared" ref="BH71:BH86" si="80">IFERROR(VLOOKUP($BG71,$BG$111:$BH$197,2,FALSE),0)</f>
        <v>7.49</v>
      </c>
      <c r="BI71" s="291">
        <f t="shared" si="41"/>
        <v>12.837100028991699</v>
      </c>
      <c r="BJ71" s="280"/>
      <c r="BK71" s="272" t="str">
        <f t="shared" ref="BK71:BK105" si="81">R71</f>
        <v>PDWPLT3 D24</v>
      </c>
      <c r="BL71" s="290">
        <f t="shared" si="42"/>
        <v>9.5500000000000007</v>
      </c>
      <c r="BM71" s="290">
        <f t="shared" si="43"/>
        <v>12.73169994354248</v>
      </c>
      <c r="BN71" s="281"/>
      <c r="BO71" s="292" t="str">
        <f t="shared" si="44"/>
        <v>PDWPLT3 D24</v>
      </c>
      <c r="BP71" s="290">
        <f t="shared" si="45"/>
        <v>15.22</v>
      </c>
      <c r="BQ71" s="291">
        <f t="shared" si="61"/>
        <v>11.409999847412109</v>
      </c>
      <c r="BR71" s="280"/>
      <c r="BS71" s="293" t="str">
        <f t="shared" si="46"/>
        <v>PDWPLT3 D24</v>
      </c>
      <c r="BT71" s="290">
        <f t="shared" si="54"/>
        <v>32.26</v>
      </c>
      <c r="BU71" s="291">
        <f t="shared" si="55"/>
        <v>36.978799819946289</v>
      </c>
      <c r="BV71" s="281"/>
      <c r="BW71" s="281"/>
      <c r="BX71" s="281"/>
      <c r="BY71" s="281"/>
      <c r="BZ71" s="281"/>
      <c r="CA71" s="281"/>
      <c r="CB71" s="281"/>
      <c r="CC71" s="280"/>
      <c r="CD71" s="280" t="str">
        <f t="shared" ref="CD71:CD77" si="82">A71</f>
        <v>PDWPLT3 D24</v>
      </c>
      <c r="CE71" s="280">
        <v>67.7</v>
      </c>
      <c r="CF71" s="280">
        <f t="shared" si="47"/>
        <v>12.533300399780273</v>
      </c>
      <c r="CG71" s="280"/>
      <c r="CH71" s="280" t="str">
        <f t="shared" ref="CH71:CH77" si="83">A71</f>
        <v>PDWPLT3 D24</v>
      </c>
      <c r="CI71" s="280">
        <v>67.7</v>
      </c>
      <c r="CJ71" s="284">
        <f t="shared" ref="CJ71:CJ87" si="84">IFERROR(VLOOKUP($A71,$A$6:$M$105,12,FALSE),"")</f>
        <v>12.032999992370605</v>
      </c>
      <c r="CK71" s="280"/>
      <c r="CL71" s="280" t="str">
        <f t="shared" ref="CL71:CL77" si="85">A71</f>
        <v>PDWPLT3 D24</v>
      </c>
      <c r="CM71" s="280">
        <v>67.7</v>
      </c>
      <c r="CN71" s="284">
        <f t="shared" ref="CN71:CN87" si="86">IFERROR(VLOOKUP($A71,$A$6:$M$105,13,FALSE),"")</f>
        <v>12.338000297546387</v>
      </c>
    </row>
    <row r="72" spans="1:92" ht="15" customHeight="1" x14ac:dyDescent="0.25">
      <c r="A72" s="286" t="s">
        <v>131</v>
      </c>
      <c r="B72" s="286">
        <v>6.9029998779296875</v>
      </c>
      <c r="C72" s="287">
        <v>7.0959000587463379</v>
      </c>
      <c r="D72" s="287">
        <v>7.0648999214172363</v>
      </c>
      <c r="E72" s="287">
        <v>6.8039999008178711</v>
      </c>
      <c r="F72" s="287">
        <v>6.9966998100280762</v>
      </c>
      <c r="G72" s="287">
        <v>6.7379999160766602</v>
      </c>
      <c r="H72" s="287">
        <v>6.9285001754760742</v>
      </c>
      <c r="I72" s="287">
        <v>6.8975000381469727</v>
      </c>
      <c r="J72" s="287">
        <v>6.2020001411437988</v>
      </c>
      <c r="K72" s="287">
        <v>6.832399845123291</v>
      </c>
      <c r="L72" s="287">
        <v>6.5819997787475586</v>
      </c>
      <c r="M72" s="288">
        <v>6.7673001289367676</v>
      </c>
      <c r="N72" s="289">
        <f t="shared" si="62"/>
        <v>81.812199592590332</v>
      </c>
      <c r="O72" s="304"/>
      <c r="R72" s="272" t="str">
        <f t="shared" si="63"/>
        <v>PDWPLT3 PC</v>
      </c>
      <c r="S72" s="290">
        <f t="shared" si="60"/>
        <v>12</v>
      </c>
      <c r="T72" s="291">
        <f t="shared" ref="T72:T104" si="87">IFERROR(VLOOKUP(R72,$A$6:$M$105,2,FALSE),"")</f>
        <v>6.9029998779296875</v>
      </c>
      <c r="U72" s="270"/>
      <c r="V72" s="272" t="str">
        <f t="shared" si="64"/>
        <v>PDWPLT3 PC</v>
      </c>
      <c r="W72" s="290">
        <f t="shared" ref="W72:W102" si="88">VLOOKUP(V72,$V$118:$W$209,2,FALSE)</f>
        <v>12</v>
      </c>
      <c r="X72" s="291">
        <f t="shared" si="65"/>
        <v>7.0959000587463379</v>
      </c>
      <c r="Y72" s="270"/>
      <c r="Z72" s="272" t="str">
        <f t="shared" si="66"/>
        <v>PDWPLT3 PC</v>
      </c>
      <c r="AA72" s="290">
        <f t="shared" ref="AA72:AA102" si="89">VLOOKUP(Z72,$Z$118:$AA$209,2,FALSE)</f>
        <v>12.77</v>
      </c>
      <c r="AB72" s="291">
        <f t="shared" si="67"/>
        <v>7.0648999214172363</v>
      </c>
      <c r="AC72" s="270"/>
      <c r="AD72" s="272" t="str">
        <f t="shared" si="68"/>
        <v>PDWPLT3 PC</v>
      </c>
      <c r="AE72" s="290">
        <f t="shared" si="56"/>
        <v>36.769999999999996</v>
      </c>
      <c r="AF72" s="291">
        <f t="shared" si="57"/>
        <v>21.063799858093262</v>
      </c>
      <c r="AG72" s="271"/>
      <c r="AH72" s="271"/>
      <c r="AI72" s="271"/>
      <c r="AJ72" s="271"/>
      <c r="AK72" s="271"/>
      <c r="AL72" s="272" t="str">
        <f t="shared" si="69"/>
        <v>PDWPLT3 PC</v>
      </c>
      <c r="AM72" s="273">
        <f t="shared" si="15"/>
        <v>11.46</v>
      </c>
      <c r="AN72" s="273">
        <f t="shared" si="71"/>
        <v>6.8039999008178711</v>
      </c>
      <c r="AO72" s="274"/>
      <c r="AP72" s="275" t="str">
        <f t="shared" si="72"/>
        <v>PDWPLT3 PC</v>
      </c>
      <c r="AQ72" s="275">
        <f t="shared" si="73"/>
        <v>11.45</v>
      </c>
      <c r="AR72" s="273">
        <f t="shared" si="74"/>
        <v>6.9966998100280762</v>
      </c>
      <c r="AS72" s="276"/>
      <c r="AT72" s="275" t="str">
        <f t="shared" si="75"/>
        <v>PDWPLT3 PC</v>
      </c>
      <c r="AU72" s="273">
        <f t="shared" si="76"/>
        <v>11.26</v>
      </c>
      <c r="AV72" s="273">
        <f t="shared" si="77"/>
        <v>6.7379999160766602</v>
      </c>
      <c r="AW72" s="277"/>
      <c r="AX72" s="275" t="str">
        <f t="shared" si="78"/>
        <v>PDWPLT3 PC</v>
      </c>
      <c r="AY72" s="273">
        <f t="shared" si="58"/>
        <v>34.17</v>
      </c>
      <c r="AZ72" s="273">
        <f t="shared" si="59"/>
        <v>20.538699626922607</v>
      </c>
      <c r="BA72" s="270"/>
      <c r="BB72" s="270"/>
      <c r="BC72" s="270"/>
      <c r="BD72" s="270"/>
      <c r="BE72" s="270"/>
      <c r="BF72" s="280"/>
      <c r="BG72" s="272" t="str">
        <f t="shared" si="79"/>
        <v>PDWPLT3 PC</v>
      </c>
      <c r="BH72" s="290">
        <f t="shared" si="80"/>
        <v>9.2200000000000006</v>
      </c>
      <c r="BI72" s="291">
        <f t="shared" ref="BI72:BI80" si="90">IFERROR(VLOOKUP($BG72,$A$6:$M$105,8,FALSE),"")</f>
        <v>6.9285001754760742</v>
      </c>
      <c r="BJ72" s="280"/>
      <c r="BK72" s="272" t="str">
        <f t="shared" si="81"/>
        <v>PDWPLT3 PC</v>
      </c>
      <c r="BL72" s="290">
        <f t="shared" ref="BL72:BL76" si="91">IFERROR(VLOOKUP($BK72,$BK$111:$BL$195,2,FALSE),0)</f>
        <v>6.8</v>
      </c>
      <c r="BM72" s="290">
        <f t="shared" ref="BM72:BM105" si="92">IFERROR(VLOOKUP($BK72,$A$6:$M$105,9,FALSE),"")</f>
        <v>6.8975000381469727</v>
      </c>
      <c r="BN72" s="281"/>
      <c r="BO72" s="292" t="str">
        <f t="shared" ref="BO72:BO105" si="93">A72</f>
        <v>PDWPLT3 PC</v>
      </c>
      <c r="BP72" s="290">
        <f t="shared" ref="BP72:BP86" si="94">IFERROR(VLOOKUP($BO72,$BO$111:$BP$195,2,FALSE),0)</f>
        <v>8.26</v>
      </c>
      <c r="BQ72" s="291">
        <f t="shared" si="61"/>
        <v>6.2020001411437988</v>
      </c>
      <c r="BR72" s="280"/>
      <c r="BS72" s="293" t="str">
        <f t="shared" ref="BS72:BS105" si="95">A72</f>
        <v>PDWPLT3 PC</v>
      </c>
      <c r="BT72" s="290">
        <f t="shared" si="54"/>
        <v>24.28</v>
      </c>
      <c r="BU72" s="291">
        <f t="shared" si="55"/>
        <v>20.028000354766846</v>
      </c>
      <c r="BV72" s="281"/>
      <c r="BW72" s="281"/>
      <c r="BX72" s="281"/>
      <c r="BY72" s="281"/>
      <c r="BZ72" s="281"/>
      <c r="CA72" s="281"/>
      <c r="CB72" s="281"/>
      <c r="CC72" s="280"/>
      <c r="CD72" s="280" t="str">
        <f t="shared" si="82"/>
        <v>PDWPLT3 PC</v>
      </c>
      <c r="CE72" s="280">
        <v>68.7</v>
      </c>
      <c r="CF72" s="280">
        <f t="shared" ref="CF72:CF87" si="96">IFERROR(VLOOKUP($A72,$A$6:$M$105,11,FALSE),"")</f>
        <v>6.832399845123291</v>
      </c>
      <c r="CG72" s="280"/>
      <c r="CH72" s="280" t="str">
        <f t="shared" si="83"/>
        <v>PDWPLT3 PC</v>
      </c>
      <c r="CI72" s="280">
        <v>68.7</v>
      </c>
      <c r="CJ72" s="284">
        <f t="shared" si="84"/>
        <v>6.5819997787475586</v>
      </c>
      <c r="CK72" s="280"/>
      <c r="CL72" s="280" t="str">
        <f t="shared" si="85"/>
        <v>PDWPLT3 PC</v>
      </c>
      <c r="CM72" s="280">
        <v>68.7</v>
      </c>
      <c r="CN72" s="284">
        <f t="shared" si="86"/>
        <v>6.7673001289367676</v>
      </c>
    </row>
    <row r="73" spans="1:92" ht="15" customHeight="1" x14ac:dyDescent="0.25">
      <c r="A73" s="286" t="s">
        <v>132</v>
      </c>
      <c r="B73" s="286">
        <v>0.85799998044967651</v>
      </c>
      <c r="C73" s="287">
        <v>0.88349997997283936</v>
      </c>
      <c r="D73" s="287">
        <v>0.87730002403259277</v>
      </c>
      <c r="E73" s="287">
        <v>0.84299999475479126</v>
      </c>
      <c r="F73" s="287">
        <v>0.86799997091293335</v>
      </c>
      <c r="G73" s="287">
        <v>0.83399999141693115</v>
      </c>
      <c r="H73" s="287">
        <v>0.85559999942779541</v>
      </c>
      <c r="I73" s="287">
        <v>0.85250002145767212</v>
      </c>
      <c r="J73" s="287">
        <v>0.76719999313354492</v>
      </c>
      <c r="K73" s="287">
        <v>0.84320002794265747</v>
      </c>
      <c r="L73" s="287">
        <v>0.81300002336502075</v>
      </c>
      <c r="M73" s="288">
        <v>0.83389997482299805</v>
      </c>
      <c r="N73" s="289">
        <f t="shared" si="62"/>
        <v>10.129199981689453</v>
      </c>
      <c r="O73" s="304"/>
      <c r="R73" s="272" t="str">
        <f t="shared" si="63"/>
        <v>RBTMTN D24</v>
      </c>
      <c r="S73" s="290">
        <f t="shared" si="60"/>
        <v>0.41</v>
      </c>
      <c r="T73" s="291">
        <f t="shared" si="87"/>
        <v>0.85799998044967651</v>
      </c>
      <c r="U73" s="270"/>
      <c r="V73" s="272" t="str">
        <f t="shared" si="64"/>
        <v>RBTMTN D24</v>
      </c>
      <c r="W73" s="290">
        <f t="shared" si="88"/>
        <v>0.41</v>
      </c>
      <c r="X73" s="291">
        <f t="shared" si="65"/>
        <v>0.88349997997283936</v>
      </c>
      <c r="Y73" s="270"/>
      <c r="Z73" s="272" t="str">
        <f t="shared" si="66"/>
        <v>RBTMTN D24</v>
      </c>
      <c r="AA73" s="290">
        <f t="shared" si="89"/>
        <v>0.41</v>
      </c>
      <c r="AB73" s="291">
        <f t="shared" si="67"/>
        <v>0.87730002403259277</v>
      </c>
      <c r="AC73" s="270"/>
      <c r="AD73" s="272" t="str">
        <f t="shared" si="68"/>
        <v>RBTMTN D24</v>
      </c>
      <c r="AE73" s="290">
        <f t="shared" si="56"/>
        <v>1.23</v>
      </c>
      <c r="AF73" s="291">
        <f t="shared" si="57"/>
        <v>2.6187999844551086</v>
      </c>
      <c r="AG73" s="271"/>
      <c r="AH73" s="271"/>
      <c r="AI73" s="271"/>
      <c r="AJ73" s="271"/>
      <c r="AK73" s="271"/>
      <c r="AL73" s="272" t="str">
        <f t="shared" si="69"/>
        <v>RBTMTN D24</v>
      </c>
      <c r="AM73" s="273">
        <f t="shared" ref="AM73:AM102" si="97">IFERROR(VLOOKUP(AL73,$AL$118:$AM$203,2,FALSE),0)</f>
        <v>0.39</v>
      </c>
      <c r="AN73" s="273">
        <f t="shared" si="71"/>
        <v>0.84299999475479126</v>
      </c>
      <c r="AO73" s="274"/>
      <c r="AP73" s="275" t="str">
        <f t="shared" si="72"/>
        <v>RBTMTN D24</v>
      </c>
      <c r="AQ73" s="275">
        <f t="shared" si="73"/>
        <v>0.4</v>
      </c>
      <c r="AR73" s="273">
        <f t="shared" si="74"/>
        <v>0.86799997091293335</v>
      </c>
      <c r="AS73" s="276"/>
      <c r="AT73" s="275" t="str">
        <f t="shared" si="75"/>
        <v>RBTMTN D24</v>
      </c>
      <c r="AU73" s="273">
        <f t="shared" si="76"/>
        <v>0.17</v>
      </c>
      <c r="AV73" s="273">
        <f t="shared" si="77"/>
        <v>0.83399999141693115</v>
      </c>
      <c r="AW73" s="277"/>
      <c r="AX73" s="275" t="str">
        <f t="shared" si="78"/>
        <v>RBTMTN D24</v>
      </c>
      <c r="AY73" s="273">
        <f t="shared" si="58"/>
        <v>0.96000000000000008</v>
      </c>
      <c r="AZ73" s="273">
        <f t="shared" si="59"/>
        <v>2.5449999570846558</v>
      </c>
      <c r="BA73" s="270"/>
      <c r="BB73" s="270"/>
      <c r="BC73" s="270"/>
      <c r="BD73" s="270"/>
      <c r="BE73" s="270"/>
      <c r="BF73" s="280"/>
      <c r="BG73" s="272" t="str">
        <f t="shared" si="79"/>
        <v>RBTMTN D24</v>
      </c>
      <c r="BH73" s="290">
        <f t="shared" si="80"/>
        <v>0.56000000000000005</v>
      </c>
      <c r="BI73" s="291">
        <f t="shared" si="90"/>
        <v>0.85559999942779541</v>
      </c>
      <c r="BJ73" s="280"/>
      <c r="BK73" s="272" t="str">
        <f t="shared" si="81"/>
        <v>RBTMTN D24</v>
      </c>
      <c r="BL73" s="290">
        <f t="shared" si="91"/>
        <v>0.42</v>
      </c>
      <c r="BM73" s="290">
        <f t="shared" si="92"/>
        <v>0.85250002145767212</v>
      </c>
      <c r="BN73" s="281"/>
      <c r="BO73" s="292" t="str">
        <f t="shared" si="93"/>
        <v>RBTMTN D24</v>
      </c>
      <c r="BP73" s="290">
        <f t="shared" si="94"/>
        <v>0.27</v>
      </c>
      <c r="BQ73" s="291">
        <f t="shared" si="61"/>
        <v>0.76719999313354492</v>
      </c>
      <c r="BR73" s="280"/>
      <c r="BS73" s="293" t="str">
        <f t="shared" si="95"/>
        <v>RBTMTN D24</v>
      </c>
      <c r="BT73" s="290">
        <f t="shared" si="54"/>
        <v>1.25</v>
      </c>
      <c r="BU73" s="291">
        <f t="shared" si="55"/>
        <v>2.4753000140190125</v>
      </c>
      <c r="BV73" s="281"/>
      <c r="BW73" s="281"/>
      <c r="BX73" s="281"/>
      <c r="BY73" s="281"/>
      <c r="BZ73" s="281"/>
      <c r="CA73" s="281"/>
      <c r="CB73" s="281"/>
      <c r="CC73" s="280"/>
      <c r="CD73" s="280" t="str">
        <f t="shared" si="82"/>
        <v>RBTMTN D24</v>
      </c>
      <c r="CE73" s="280">
        <v>69.7</v>
      </c>
      <c r="CF73" s="280">
        <f t="shared" si="96"/>
        <v>0.84320002794265747</v>
      </c>
      <c r="CG73" s="280"/>
      <c r="CH73" s="280" t="str">
        <f t="shared" si="83"/>
        <v>RBTMTN D24</v>
      </c>
      <c r="CI73" s="280">
        <v>69.7</v>
      </c>
      <c r="CJ73" s="284">
        <f t="shared" si="84"/>
        <v>0.81300002336502075</v>
      </c>
      <c r="CK73" s="280"/>
      <c r="CL73" s="280" t="str">
        <f t="shared" si="85"/>
        <v>RBTMTN D24</v>
      </c>
      <c r="CM73" s="280">
        <v>69.7</v>
      </c>
      <c r="CN73" s="284">
        <f t="shared" si="86"/>
        <v>0.83389997482299805</v>
      </c>
    </row>
    <row r="74" spans="1:92" ht="15" customHeight="1" x14ac:dyDescent="0.25">
      <c r="A74" s="286" t="s">
        <v>133</v>
      </c>
      <c r="B74" s="286">
        <v>1.8240000009536743</v>
      </c>
      <c r="C74" s="287">
        <v>1.8724000453948975</v>
      </c>
      <c r="D74" s="287">
        <v>1.8600000143051147</v>
      </c>
      <c r="E74" s="287">
        <v>1.7910000085830688</v>
      </c>
      <c r="F74" s="287">
        <v>1.8382999897003174</v>
      </c>
      <c r="G74" s="287">
        <v>1.7669999599456787</v>
      </c>
      <c r="H74" s="287">
        <v>1.8135000467300415</v>
      </c>
      <c r="I74" s="287">
        <v>1.8042000532150269</v>
      </c>
      <c r="J74" s="287">
        <v>1.618399977684021</v>
      </c>
      <c r="K74" s="287">
        <v>1.7825000286102295</v>
      </c>
      <c r="L74" s="287">
        <v>1.7130000591278076</v>
      </c>
      <c r="M74" s="288">
        <v>1.7608000040054321</v>
      </c>
      <c r="N74" s="289">
        <f t="shared" si="62"/>
        <v>21.44510018825531</v>
      </c>
      <c r="O74" s="304"/>
      <c r="R74" s="272" t="str">
        <f t="shared" si="63"/>
        <v>RBTMTN PC</v>
      </c>
      <c r="S74" s="290">
        <f t="shared" si="60"/>
        <v>3.34</v>
      </c>
      <c r="T74" s="291">
        <f t="shared" si="87"/>
        <v>1.8240000009536743</v>
      </c>
      <c r="U74" s="270"/>
      <c r="V74" s="272" t="str">
        <f t="shared" si="64"/>
        <v>RBTMTN PC</v>
      </c>
      <c r="W74" s="290">
        <f t="shared" si="88"/>
        <v>3.57</v>
      </c>
      <c r="X74" s="291">
        <f t="shared" si="65"/>
        <v>1.8724000453948975</v>
      </c>
      <c r="Y74" s="270"/>
      <c r="Z74" s="272" t="str">
        <f t="shared" si="66"/>
        <v>RBTMTN PC</v>
      </c>
      <c r="AA74" s="290">
        <f t="shared" si="89"/>
        <v>0.23</v>
      </c>
      <c r="AB74" s="291">
        <f t="shared" si="67"/>
        <v>1.8600000143051147</v>
      </c>
      <c r="AC74" s="270"/>
      <c r="AD74" s="272" t="str">
        <f t="shared" si="68"/>
        <v>RBTMTN PC</v>
      </c>
      <c r="AE74" s="290">
        <f t="shared" si="56"/>
        <v>7.1400000000000006</v>
      </c>
      <c r="AF74" s="291">
        <f t="shared" si="57"/>
        <v>5.5564000606536865</v>
      </c>
      <c r="AG74" s="271"/>
      <c r="AH74" s="271"/>
      <c r="AI74" s="271"/>
      <c r="AJ74" s="271"/>
      <c r="AK74" s="271"/>
      <c r="AL74" s="272" t="str">
        <f t="shared" si="69"/>
        <v>RBTMTN PC</v>
      </c>
      <c r="AM74" s="273">
        <f t="shared" si="97"/>
        <v>4.1100000000000003</v>
      </c>
      <c r="AN74" s="273">
        <f t="shared" si="71"/>
        <v>1.7910000085830688</v>
      </c>
      <c r="AO74" s="274"/>
      <c r="AP74" s="275" t="str">
        <f t="shared" si="72"/>
        <v>RBTMTN PC</v>
      </c>
      <c r="AQ74" s="275">
        <f t="shared" si="73"/>
        <v>3.28</v>
      </c>
      <c r="AR74" s="273">
        <f t="shared" si="74"/>
        <v>1.8382999897003174</v>
      </c>
      <c r="AS74" s="276"/>
      <c r="AT74" s="275" t="str">
        <f t="shared" si="75"/>
        <v>RBTMTN PC</v>
      </c>
      <c r="AU74" s="273">
        <f t="shared" si="76"/>
        <v>1.54</v>
      </c>
      <c r="AV74" s="273">
        <f t="shared" si="77"/>
        <v>1.7669999599456787</v>
      </c>
      <c r="AW74" s="277"/>
      <c r="AX74" s="275" t="str">
        <f t="shared" si="78"/>
        <v>RBTMTN PC</v>
      </c>
      <c r="AY74" s="273">
        <f t="shared" si="58"/>
        <v>8.93</v>
      </c>
      <c r="AZ74" s="273">
        <f t="shared" si="59"/>
        <v>5.3962999582290649</v>
      </c>
      <c r="BA74" s="270"/>
      <c r="BB74" s="270"/>
      <c r="BC74" s="270"/>
      <c r="BD74" s="270"/>
      <c r="BE74" s="270"/>
      <c r="BF74" s="280"/>
      <c r="BG74" s="272" t="str">
        <f t="shared" si="79"/>
        <v>RBTMTN PC</v>
      </c>
      <c r="BH74" s="290">
        <f t="shared" si="80"/>
        <v>3.48</v>
      </c>
      <c r="BI74" s="291">
        <f t="shared" si="90"/>
        <v>1.8135000467300415</v>
      </c>
      <c r="BJ74" s="280"/>
      <c r="BK74" s="272" t="str">
        <f t="shared" si="81"/>
        <v>RBTMTN PC</v>
      </c>
      <c r="BL74" s="290">
        <f t="shared" si="91"/>
        <v>2.7</v>
      </c>
      <c r="BM74" s="290">
        <f t="shared" si="92"/>
        <v>1.8042000532150269</v>
      </c>
      <c r="BN74" s="281"/>
      <c r="BO74" s="292" t="str">
        <f t="shared" si="93"/>
        <v>RBTMTN PC</v>
      </c>
      <c r="BP74" s="290">
        <f t="shared" si="94"/>
        <v>1.97</v>
      </c>
      <c r="BQ74" s="291">
        <f t="shared" si="61"/>
        <v>1.618399977684021</v>
      </c>
      <c r="BR74" s="280"/>
      <c r="BS74" s="293" t="str">
        <f t="shared" si="95"/>
        <v>RBTMTN PC</v>
      </c>
      <c r="BT74" s="290">
        <f t="shared" si="54"/>
        <v>8.15</v>
      </c>
      <c r="BU74" s="291">
        <f t="shared" si="55"/>
        <v>5.2361000776290894</v>
      </c>
      <c r="BV74" s="281"/>
      <c r="BW74" s="281"/>
      <c r="BX74" s="281"/>
      <c r="BY74" s="281"/>
      <c r="BZ74" s="281"/>
      <c r="CA74" s="281"/>
      <c r="CB74" s="281"/>
      <c r="CC74" s="280"/>
      <c r="CD74" s="280" t="str">
        <f t="shared" si="82"/>
        <v>RBTMTN PC</v>
      </c>
      <c r="CE74" s="280">
        <v>70.7</v>
      </c>
      <c r="CF74" s="280">
        <f t="shared" si="96"/>
        <v>1.7825000286102295</v>
      </c>
      <c r="CG74" s="280"/>
      <c r="CH74" s="280" t="str">
        <f t="shared" si="83"/>
        <v>RBTMTN PC</v>
      </c>
      <c r="CI74" s="280">
        <v>70.7</v>
      </c>
      <c r="CJ74" s="284">
        <f t="shared" si="84"/>
        <v>1.7130000591278076</v>
      </c>
      <c r="CK74" s="280"/>
      <c r="CL74" s="280" t="str">
        <f t="shared" si="85"/>
        <v>RBTMTN PC</v>
      </c>
      <c r="CM74" s="280">
        <v>70.7</v>
      </c>
      <c r="CN74" s="284">
        <f t="shared" si="86"/>
        <v>1.7608000040054321</v>
      </c>
    </row>
    <row r="75" spans="1:92" ht="15" customHeight="1" x14ac:dyDescent="0.25">
      <c r="A75" s="286" t="s">
        <v>161</v>
      </c>
      <c r="B75" s="286">
        <v>5.5710000991821289</v>
      </c>
      <c r="C75" s="287">
        <v>5.722599983215332</v>
      </c>
      <c r="D75" s="287">
        <v>5.688499927520752</v>
      </c>
      <c r="E75" s="287">
        <v>5.4749999046325684</v>
      </c>
      <c r="F75" s="287">
        <v>5.6234002113342285</v>
      </c>
      <c r="G75" s="287">
        <v>5.4089999198913574</v>
      </c>
      <c r="H75" s="287">
        <v>5.5583000183105469</v>
      </c>
      <c r="I75" s="287">
        <v>5.5272998809814453</v>
      </c>
      <c r="J75" s="287">
        <v>4.9615998268127441</v>
      </c>
      <c r="K75" s="287">
        <v>5.4622001647949219</v>
      </c>
      <c r="L75" s="287">
        <v>5.2560000419616699</v>
      </c>
      <c r="M75" s="288">
        <v>5.3970999717712402</v>
      </c>
      <c r="N75" s="289">
        <f t="shared" si="62"/>
        <v>65.651999950408936</v>
      </c>
      <c r="O75" s="304"/>
      <c r="R75" s="272" t="str">
        <f t="shared" si="63"/>
        <v>RBTMTNMT D24</v>
      </c>
      <c r="S75" s="290">
        <f t="shared" si="60"/>
        <v>5.99</v>
      </c>
      <c r="T75" s="291">
        <f t="shared" si="87"/>
        <v>5.5710000991821289</v>
      </c>
      <c r="U75" s="270"/>
      <c r="V75" s="272" t="str">
        <f t="shared" si="64"/>
        <v>RBTMTNMT D24</v>
      </c>
      <c r="W75" s="290">
        <f t="shared" si="88"/>
        <v>6.37</v>
      </c>
      <c r="X75" s="291">
        <f t="shared" si="65"/>
        <v>5.722599983215332</v>
      </c>
      <c r="Y75" s="270"/>
      <c r="Z75" s="272" t="str">
        <f t="shared" si="66"/>
        <v>RBTMTNMT D24</v>
      </c>
      <c r="AA75" s="290">
        <f t="shared" si="89"/>
        <v>6.32</v>
      </c>
      <c r="AB75" s="291">
        <f t="shared" si="67"/>
        <v>5.688499927520752</v>
      </c>
      <c r="AC75" s="270"/>
      <c r="AD75" s="272" t="str">
        <f t="shared" si="68"/>
        <v>RBTMTNMT D24</v>
      </c>
      <c r="AE75" s="290">
        <f t="shared" si="56"/>
        <v>18.68</v>
      </c>
      <c r="AF75" s="291">
        <f t="shared" si="57"/>
        <v>16.982100009918213</v>
      </c>
      <c r="AG75" s="271"/>
      <c r="AH75" s="271"/>
      <c r="AI75" s="271"/>
      <c r="AJ75" s="271"/>
      <c r="AK75" s="271"/>
      <c r="AL75" s="272" t="str">
        <f t="shared" si="69"/>
        <v>RBTMTNMT D24</v>
      </c>
      <c r="AM75" s="273">
        <f t="shared" si="97"/>
        <v>6.01</v>
      </c>
      <c r="AN75" s="273">
        <f t="shared" si="71"/>
        <v>5.4749999046325684</v>
      </c>
      <c r="AO75" s="274"/>
      <c r="AP75" s="275" t="str">
        <f t="shared" si="72"/>
        <v>RBTMTNMT D24</v>
      </c>
      <c r="AQ75" s="275">
        <f t="shared" si="73"/>
        <v>6.68</v>
      </c>
      <c r="AR75" s="273">
        <f t="shared" si="74"/>
        <v>5.6234002113342285</v>
      </c>
      <c r="AS75" s="276"/>
      <c r="AT75" s="275" t="str">
        <f t="shared" si="75"/>
        <v>RBTMTNMT D24</v>
      </c>
      <c r="AU75" s="273">
        <f t="shared" si="76"/>
        <v>5.81</v>
      </c>
      <c r="AV75" s="273">
        <f t="shared" si="77"/>
        <v>5.4089999198913574</v>
      </c>
      <c r="AW75" s="277"/>
      <c r="AX75" s="275" t="str">
        <f t="shared" si="78"/>
        <v>RBTMTNMT D24</v>
      </c>
      <c r="AY75" s="273">
        <f t="shared" si="58"/>
        <v>18.5</v>
      </c>
      <c r="AZ75" s="273">
        <f t="shared" si="59"/>
        <v>16.507400035858154</v>
      </c>
      <c r="BA75" s="270"/>
      <c r="BB75" s="270"/>
      <c r="BC75" s="270"/>
      <c r="BD75" s="270"/>
      <c r="BE75" s="270"/>
      <c r="BF75" s="280"/>
      <c r="BG75" s="272" t="str">
        <f t="shared" si="79"/>
        <v>RBTMTNMT D24</v>
      </c>
      <c r="BH75" s="290">
        <f t="shared" si="80"/>
        <v>7.17</v>
      </c>
      <c r="BI75" s="291">
        <f t="shared" si="90"/>
        <v>5.5583000183105469</v>
      </c>
      <c r="BJ75" s="280"/>
      <c r="BK75" s="272" t="str">
        <f t="shared" si="81"/>
        <v>RBTMTNMT D24</v>
      </c>
      <c r="BL75" s="290">
        <f t="shared" si="91"/>
        <v>6.35</v>
      </c>
      <c r="BM75" s="290">
        <f t="shared" si="92"/>
        <v>5.5272998809814453</v>
      </c>
      <c r="BN75" s="281"/>
      <c r="BO75" s="292" t="str">
        <f t="shared" si="93"/>
        <v>RBTMTNMT D24</v>
      </c>
      <c r="BP75" s="290">
        <f t="shared" si="94"/>
        <v>5.24</v>
      </c>
      <c r="BQ75" s="291">
        <f t="shared" si="61"/>
        <v>4.9615998268127441</v>
      </c>
      <c r="BR75" s="280"/>
      <c r="BS75" s="293" t="str">
        <f t="shared" si="95"/>
        <v>RBTMTNMT D24</v>
      </c>
      <c r="BT75" s="290">
        <f t="shared" si="54"/>
        <v>18.759999999999998</v>
      </c>
      <c r="BU75" s="291">
        <f t="shared" si="55"/>
        <v>16.047199726104736</v>
      </c>
      <c r="BV75" s="281"/>
      <c r="BW75" s="281"/>
      <c r="BX75" s="281"/>
      <c r="BY75" s="281"/>
      <c r="BZ75" s="281"/>
      <c r="CA75" s="281"/>
      <c r="CB75" s="281"/>
      <c r="CC75" s="280"/>
      <c r="CD75" s="280" t="str">
        <f t="shared" si="82"/>
        <v>RBTMTNMT D24</v>
      </c>
      <c r="CE75" s="280">
        <v>71.7</v>
      </c>
      <c r="CF75" s="280">
        <f t="shared" si="96"/>
        <v>5.4622001647949219</v>
      </c>
      <c r="CG75" s="280"/>
      <c r="CH75" s="280" t="str">
        <f t="shared" si="83"/>
        <v>RBTMTNMT D24</v>
      </c>
      <c r="CI75" s="280">
        <v>71.7</v>
      </c>
      <c r="CJ75" s="284">
        <f t="shared" si="84"/>
        <v>5.2560000419616699</v>
      </c>
      <c r="CK75" s="280"/>
      <c r="CL75" s="280" t="str">
        <f t="shared" si="85"/>
        <v>RBTMTNMT D24</v>
      </c>
      <c r="CM75" s="280">
        <v>71.7</v>
      </c>
      <c r="CN75" s="284">
        <f t="shared" si="86"/>
        <v>5.3970999717712402</v>
      </c>
    </row>
    <row r="76" spans="1:92" ht="15" customHeight="1" x14ac:dyDescent="0.25">
      <c r="A76" s="286" t="s">
        <v>162</v>
      </c>
      <c r="B76" s="286">
        <v>2.575200080871582</v>
      </c>
      <c r="C76" s="287">
        <v>2.6505000591278076</v>
      </c>
      <c r="D76" s="287">
        <v>2.641200065612793</v>
      </c>
      <c r="E76" s="287">
        <v>2.5439999103546143</v>
      </c>
      <c r="F76" s="287">
        <v>2.6194999217987061</v>
      </c>
      <c r="G76" s="287">
        <v>2.5230000019073486</v>
      </c>
      <c r="H76" s="287">
        <v>2.5978000164031982</v>
      </c>
      <c r="I76" s="287">
        <v>2.5854001045227051</v>
      </c>
      <c r="J76" s="287">
        <v>2.3268001079559326</v>
      </c>
      <c r="K76" s="287">
        <v>2.5636999607086182</v>
      </c>
      <c r="L76" s="287">
        <v>2.4719998836517334</v>
      </c>
      <c r="M76" s="288">
        <v>2.5420000553131104</v>
      </c>
      <c r="N76" s="289">
        <f t="shared" si="62"/>
        <v>30.641100168228149</v>
      </c>
      <c r="O76" s="304"/>
      <c r="R76" s="272" t="str">
        <f t="shared" si="63"/>
        <v>RBTMTNMT PC</v>
      </c>
      <c r="S76" s="290">
        <f t="shared" si="60"/>
        <v>3.02</v>
      </c>
      <c r="T76" s="291">
        <f t="shared" si="87"/>
        <v>2.575200080871582</v>
      </c>
      <c r="U76" s="270"/>
      <c r="V76" s="272" t="str">
        <f t="shared" si="64"/>
        <v>RBTMTNMT PC</v>
      </c>
      <c r="W76" s="290">
        <f t="shared" si="88"/>
        <v>2.79</v>
      </c>
      <c r="X76" s="291">
        <f t="shared" si="65"/>
        <v>2.6505000591278076</v>
      </c>
      <c r="Y76" s="270"/>
      <c r="Z76" s="272" t="str">
        <f t="shared" si="66"/>
        <v>RBTMTNMT PC</v>
      </c>
      <c r="AA76" s="290">
        <f t="shared" si="89"/>
        <v>3.04</v>
      </c>
      <c r="AB76" s="291">
        <f t="shared" si="67"/>
        <v>2.641200065612793</v>
      </c>
      <c r="AC76" s="270"/>
      <c r="AD76" s="272" t="str">
        <f t="shared" si="68"/>
        <v>RBTMTNMT PC</v>
      </c>
      <c r="AE76" s="290">
        <f t="shared" si="56"/>
        <v>8.8500000000000014</v>
      </c>
      <c r="AF76" s="291">
        <f t="shared" si="57"/>
        <v>7.8669002056121826</v>
      </c>
      <c r="AG76" s="271"/>
      <c r="AH76" s="271"/>
      <c r="AI76" s="271"/>
      <c r="AJ76" s="271"/>
      <c r="AK76" s="271"/>
      <c r="AL76" s="272" t="str">
        <f t="shared" si="69"/>
        <v>RBTMTNMT PC</v>
      </c>
      <c r="AM76" s="273">
        <f t="shared" si="97"/>
        <v>2.67</v>
      </c>
      <c r="AN76" s="273">
        <f t="shared" si="71"/>
        <v>2.5439999103546143</v>
      </c>
      <c r="AO76" s="274"/>
      <c r="AP76" s="275" t="str">
        <f t="shared" si="72"/>
        <v>RBTMTNMT PC</v>
      </c>
      <c r="AQ76" s="275">
        <f t="shared" si="73"/>
        <v>2.31</v>
      </c>
      <c r="AR76" s="273">
        <f t="shared" si="74"/>
        <v>2.6194999217987061</v>
      </c>
      <c r="AS76" s="276"/>
      <c r="AT76" s="275" t="str">
        <f t="shared" si="75"/>
        <v>RBTMTNMT PC</v>
      </c>
      <c r="AU76" s="273">
        <f t="shared" si="76"/>
        <v>1.73</v>
      </c>
      <c r="AV76" s="273">
        <f t="shared" si="77"/>
        <v>2.5230000019073486</v>
      </c>
      <c r="AW76" s="277"/>
      <c r="AX76" s="275" t="str">
        <f t="shared" si="78"/>
        <v>RBTMTNMT PC</v>
      </c>
      <c r="AY76" s="273">
        <f t="shared" si="58"/>
        <v>6.7100000000000009</v>
      </c>
      <c r="AZ76" s="273">
        <f t="shared" si="59"/>
        <v>7.6864998340606689</v>
      </c>
      <c r="BA76" s="270"/>
      <c r="BB76" s="270"/>
      <c r="BC76" s="270"/>
      <c r="BD76" s="270"/>
      <c r="BE76" s="270"/>
      <c r="BF76" s="280"/>
      <c r="BG76" s="272" t="str">
        <f t="shared" si="79"/>
        <v>RBTMTNMT PC</v>
      </c>
      <c r="BH76" s="290">
        <f t="shared" si="80"/>
        <v>3.34</v>
      </c>
      <c r="BI76" s="291">
        <f t="shared" si="90"/>
        <v>2.5978000164031982</v>
      </c>
      <c r="BJ76" s="280"/>
      <c r="BK76" s="272" t="str">
        <f t="shared" si="81"/>
        <v>RBTMTNMT PC</v>
      </c>
      <c r="BL76" s="290">
        <f t="shared" si="91"/>
        <v>2.81</v>
      </c>
      <c r="BM76" s="290">
        <f t="shared" si="92"/>
        <v>2.5854001045227051</v>
      </c>
      <c r="BN76" s="281"/>
      <c r="BO76" s="292" t="str">
        <f t="shared" si="93"/>
        <v>RBTMTNMT PC</v>
      </c>
      <c r="BP76" s="290">
        <f t="shared" si="94"/>
        <v>2.0499999999999998</v>
      </c>
      <c r="BQ76" s="291">
        <f t="shared" si="61"/>
        <v>2.3268001079559326</v>
      </c>
      <c r="BR76" s="280"/>
      <c r="BS76" s="293" t="str">
        <f t="shared" si="95"/>
        <v>RBTMTNMT PC</v>
      </c>
      <c r="BT76" s="290">
        <f t="shared" si="54"/>
        <v>8.1999999999999993</v>
      </c>
      <c r="BU76" s="291">
        <f t="shared" si="55"/>
        <v>7.5100002288818359</v>
      </c>
      <c r="BV76" s="281"/>
      <c r="BW76" s="281"/>
      <c r="BX76" s="281"/>
      <c r="BY76" s="281"/>
      <c r="BZ76" s="281"/>
      <c r="CA76" s="281"/>
      <c r="CB76" s="281"/>
      <c r="CC76" s="280"/>
      <c r="CD76" s="280" t="str">
        <f t="shared" si="82"/>
        <v>RBTMTNMT PC</v>
      </c>
      <c r="CE76" s="280">
        <v>72.7</v>
      </c>
      <c r="CF76" s="280">
        <f t="shared" si="96"/>
        <v>2.5636999607086182</v>
      </c>
      <c r="CG76" s="280"/>
      <c r="CH76" s="280" t="str">
        <f t="shared" si="83"/>
        <v>RBTMTNMT PC</v>
      </c>
      <c r="CI76" s="280">
        <v>72.7</v>
      </c>
      <c r="CJ76" s="284">
        <f t="shared" si="84"/>
        <v>2.4719998836517334</v>
      </c>
      <c r="CK76" s="280"/>
      <c r="CL76" s="280" t="str">
        <f t="shared" si="85"/>
        <v>RBTMTNMT PC</v>
      </c>
      <c r="CM76" s="280">
        <v>72.7</v>
      </c>
      <c r="CN76" s="284">
        <f t="shared" si="86"/>
        <v>2.5420000553131104</v>
      </c>
    </row>
    <row r="77" spans="1:92" ht="15" customHeight="1" x14ac:dyDescent="0.25">
      <c r="A77" s="286" t="s">
        <v>134</v>
      </c>
      <c r="B77" s="286">
        <v>2.684999942779541</v>
      </c>
      <c r="C77" s="287">
        <v>2.7620999813079834</v>
      </c>
      <c r="D77" s="287">
        <v>2.7497000694274902</v>
      </c>
      <c r="E77" s="287">
        <v>2.6519999504089355</v>
      </c>
      <c r="F77" s="287">
        <v>2.7279999256134033</v>
      </c>
      <c r="G77" s="287">
        <v>2.6310000419616699</v>
      </c>
      <c r="H77" s="287">
        <v>2.7063000202178955</v>
      </c>
      <c r="I77" s="287">
        <v>2.6939001083374023</v>
      </c>
      <c r="J77" s="287">
        <v>2.424799919128418</v>
      </c>
      <c r="K77" s="287">
        <v>2.6721999645233154</v>
      </c>
      <c r="L77" s="287">
        <v>2.5739998817443848</v>
      </c>
      <c r="M77" s="288">
        <v>2.6505000591278076</v>
      </c>
      <c r="N77" s="289">
        <f t="shared" si="62"/>
        <v>31.929499864578247</v>
      </c>
      <c r="O77" s="304"/>
      <c r="R77" s="272" t="str">
        <f t="shared" si="63"/>
        <v>SGRLF D24</v>
      </c>
      <c r="S77" s="290">
        <f t="shared" si="60"/>
        <v>2.7</v>
      </c>
      <c r="T77" s="291">
        <f t="shared" si="87"/>
        <v>2.684999942779541</v>
      </c>
      <c r="U77" s="270"/>
      <c r="V77" s="272" t="str">
        <f t="shared" si="64"/>
        <v>SGRLF D24</v>
      </c>
      <c r="W77" s="290">
        <f t="shared" si="88"/>
        <v>2.68</v>
      </c>
      <c r="X77" s="291">
        <f t="shared" si="65"/>
        <v>2.7620999813079834</v>
      </c>
      <c r="Y77" s="270"/>
      <c r="Z77" s="272" t="str">
        <f t="shared" si="66"/>
        <v>SGRLF D24</v>
      </c>
      <c r="AA77" s="290">
        <f t="shared" si="89"/>
        <v>2.95</v>
      </c>
      <c r="AB77" s="291">
        <f t="shared" si="67"/>
        <v>2.7497000694274902</v>
      </c>
      <c r="AC77" s="270"/>
      <c r="AD77" s="272" t="str">
        <f t="shared" si="68"/>
        <v>SGRLF D24</v>
      </c>
      <c r="AE77" s="290">
        <f t="shared" si="56"/>
        <v>8.3300000000000018</v>
      </c>
      <c r="AF77" s="291">
        <f t="shared" si="57"/>
        <v>8.1967999935150146</v>
      </c>
      <c r="AG77" s="271"/>
      <c r="AH77" s="271"/>
      <c r="AI77" s="271"/>
      <c r="AJ77" s="271"/>
      <c r="AK77" s="271"/>
      <c r="AL77" s="272" t="str">
        <f t="shared" si="69"/>
        <v>SGRLF D24</v>
      </c>
      <c r="AM77" s="273">
        <f t="shared" si="97"/>
        <v>2.0699999999999998</v>
      </c>
      <c r="AN77" s="273">
        <f t="shared" si="71"/>
        <v>2.6519999504089355</v>
      </c>
      <c r="AO77" s="274"/>
      <c r="AP77" s="275" t="str">
        <f t="shared" si="72"/>
        <v>SGRLF D24</v>
      </c>
      <c r="AQ77" s="275">
        <f t="shared" si="73"/>
        <v>2.17</v>
      </c>
      <c r="AR77" s="273">
        <f t="shared" si="74"/>
        <v>2.7279999256134033</v>
      </c>
      <c r="AS77" s="276"/>
      <c r="AT77" s="275" t="str">
        <f t="shared" si="75"/>
        <v>SGRLF D24</v>
      </c>
      <c r="AU77" s="273">
        <f t="shared" si="76"/>
        <v>1.88</v>
      </c>
      <c r="AV77" s="273">
        <f t="shared" si="77"/>
        <v>2.6310000419616699</v>
      </c>
      <c r="AW77" s="277"/>
      <c r="AX77" s="275" t="str">
        <f t="shared" si="78"/>
        <v>SGRLF D24</v>
      </c>
      <c r="AY77" s="273">
        <f t="shared" si="58"/>
        <v>6.12</v>
      </c>
      <c r="AZ77" s="273">
        <f t="shared" si="59"/>
        <v>8.0109999179840088</v>
      </c>
      <c r="BA77" s="270"/>
      <c r="BB77" s="270"/>
      <c r="BC77" s="270"/>
      <c r="BD77" s="270"/>
      <c r="BE77" s="270"/>
      <c r="BF77" s="280"/>
      <c r="BG77" s="272" t="str">
        <f t="shared" si="79"/>
        <v>SGRLF D24</v>
      </c>
      <c r="BH77" s="290">
        <f t="shared" si="80"/>
        <v>1.99</v>
      </c>
      <c r="BI77" s="291">
        <f t="shared" si="90"/>
        <v>2.7063000202178955</v>
      </c>
      <c r="BJ77" s="280"/>
      <c r="BK77" s="272" t="str">
        <f t="shared" si="81"/>
        <v>SGRLF D24</v>
      </c>
      <c r="BL77" s="290">
        <f>IFERROR(VLOOKUP($BK77,$BK$111:$BL$195,2,FALSE),0)</f>
        <v>1.85</v>
      </c>
      <c r="BM77" s="290">
        <f t="shared" si="92"/>
        <v>2.6939001083374023</v>
      </c>
      <c r="BN77" s="281"/>
      <c r="BO77" s="292" t="str">
        <f t="shared" si="93"/>
        <v>SGRLF D24</v>
      </c>
      <c r="BP77" s="290">
        <f t="shared" si="94"/>
        <v>1.8</v>
      </c>
      <c r="BQ77" s="291">
        <f t="shared" si="61"/>
        <v>2.424799919128418</v>
      </c>
      <c r="BR77" s="280"/>
      <c r="BS77" s="293" t="str">
        <f t="shared" si="95"/>
        <v>SGRLF D24</v>
      </c>
      <c r="BT77" s="290">
        <f t="shared" si="54"/>
        <v>5.64</v>
      </c>
      <c r="BU77" s="291">
        <f t="shared" si="55"/>
        <v>7.8250000476837158</v>
      </c>
      <c r="BV77" s="281"/>
      <c r="BW77" s="281"/>
      <c r="BX77" s="281"/>
      <c r="BY77" s="281"/>
      <c r="BZ77" s="281"/>
      <c r="CA77" s="281"/>
      <c r="CB77" s="281"/>
      <c r="CC77" s="280"/>
      <c r="CD77" s="280" t="str">
        <f t="shared" si="82"/>
        <v>SGRLF D24</v>
      </c>
      <c r="CE77" s="280">
        <v>73.7</v>
      </c>
      <c r="CF77" s="280">
        <f t="shared" si="96"/>
        <v>2.6721999645233154</v>
      </c>
      <c r="CG77" s="280"/>
      <c r="CH77" s="280" t="str">
        <f t="shared" si="83"/>
        <v>SGRLF D24</v>
      </c>
      <c r="CI77" s="280">
        <v>73.7</v>
      </c>
      <c r="CJ77" s="284">
        <f t="shared" si="84"/>
        <v>2.5739998817443848</v>
      </c>
      <c r="CK77" s="280"/>
      <c r="CL77" s="280" t="str">
        <f t="shared" si="85"/>
        <v>SGRLF D24</v>
      </c>
      <c r="CM77" s="280">
        <v>73.7</v>
      </c>
      <c r="CN77" s="284">
        <f t="shared" si="86"/>
        <v>2.6505000591278076</v>
      </c>
    </row>
    <row r="78" spans="1:92" ht="15" customHeight="1" x14ac:dyDescent="0.25">
      <c r="A78" s="286" t="s">
        <v>135</v>
      </c>
      <c r="B78" s="286">
        <v>36.422500610351562</v>
      </c>
      <c r="C78" s="287">
        <v>37.240299224853516</v>
      </c>
      <c r="D78" s="287">
        <v>36.831100463867188</v>
      </c>
      <c r="E78" s="287">
        <v>35.262001037597656</v>
      </c>
      <c r="F78" s="287">
        <v>36.059200286865234</v>
      </c>
      <c r="G78" s="287">
        <v>34.535999298095703</v>
      </c>
      <c r="H78" s="287">
        <v>34.713798522949219</v>
      </c>
      <c r="I78" s="287">
        <v>34.056598663330078</v>
      </c>
      <c r="J78" s="287">
        <v>30.455600738525391</v>
      </c>
      <c r="K78" s="287">
        <v>33.393199920654297</v>
      </c>
      <c r="L78" s="287">
        <v>32.006999969482422</v>
      </c>
      <c r="M78" s="288">
        <v>32.763900756835938</v>
      </c>
      <c r="N78" s="289">
        <f t="shared" si="62"/>
        <v>413.7411994934082</v>
      </c>
      <c r="O78" s="304"/>
      <c r="R78" s="272" t="str">
        <f t="shared" si="63"/>
        <v>SGRLF PC</v>
      </c>
      <c r="S78" s="290">
        <f t="shared" si="60"/>
        <v>47.17</v>
      </c>
      <c r="T78" s="291">
        <f t="shared" si="87"/>
        <v>36.422500610351562</v>
      </c>
      <c r="U78" s="270"/>
      <c r="V78" s="272" t="str">
        <f t="shared" si="64"/>
        <v>SGRLF PC</v>
      </c>
      <c r="W78" s="290">
        <f t="shared" si="88"/>
        <v>49.3</v>
      </c>
      <c r="X78" s="291">
        <f t="shared" si="65"/>
        <v>37.240299224853516</v>
      </c>
      <c r="Y78" s="270"/>
      <c r="Z78" s="272" t="str">
        <f t="shared" si="66"/>
        <v>SGRLF PC</v>
      </c>
      <c r="AA78" s="290">
        <f t="shared" si="89"/>
        <v>5.33</v>
      </c>
      <c r="AB78" s="291">
        <f t="shared" si="67"/>
        <v>36.831100463867188</v>
      </c>
      <c r="AC78" s="270"/>
      <c r="AD78" s="272" t="str">
        <f t="shared" si="68"/>
        <v>SGRLF PC</v>
      </c>
      <c r="AE78" s="290">
        <f t="shared" si="56"/>
        <v>101.8</v>
      </c>
      <c r="AF78" s="291">
        <f t="shared" si="57"/>
        <v>110.49390029907227</v>
      </c>
      <c r="AG78" s="271"/>
      <c r="AH78" s="271"/>
      <c r="AI78" s="271"/>
      <c r="AJ78" s="271"/>
      <c r="AK78" s="271"/>
      <c r="AL78" s="272" t="str">
        <f t="shared" si="69"/>
        <v>SGRLF PC</v>
      </c>
      <c r="AM78" s="273">
        <f t="shared" si="97"/>
        <v>62.22</v>
      </c>
      <c r="AN78" s="273">
        <f t="shared" si="71"/>
        <v>35.262001037597656</v>
      </c>
      <c r="AO78" s="274"/>
      <c r="AP78" s="275" t="str">
        <f t="shared" si="72"/>
        <v>SGRLF PC</v>
      </c>
      <c r="AQ78" s="275">
        <f t="shared" si="73"/>
        <v>58.41</v>
      </c>
      <c r="AR78" s="273">
        <f t="shared" si="74"/>
        <v>36.059200286865234</v>
      </c>
      <c r="AS78" s="276"/>
      <c r="AT78" s="275" t="str">
        <f t="shared" si="75"/>
        <v>SGRLF PC</v>
      </c>
      <c r="AU78" s="273">
        <f t="shared" si="76"/>
        <v>54.58</v>
      </c>
      <c r="AV78" s="273">
        <f t="shared" si="77"/>
        <v>34.535999298095703</v>
      </c>
      <c r="AW78" s="277"/>
      <c r="AX78" s="275" t="str">
        <f t="shared" si="78"/>
        <v>SGRLF PC</v>
      </c>
      <c r="AY78" s="273">
        <f t="shared" si="58"/>
        <v>175.20999999999998</v>
      </c>
      <c r="AZ78" s="273">
        <f t="shared" si="59"/>
        <v>105.85720062255859</v>
      </c>
      <c r="BA78" s="270"/>
      <c r="BB78" s="270"/>
      <c r="BC78" s="270"/>
      <c r="BD78" s="270"/>
      <c r="BE78" s="270"/>
      <c r="BF78" s="280"/>
      <c r="BG78" s="272" t="str">
        <f t="shared" si="79"/>
        <v>SGRLF PC</v>
      </c>
      <c r="BH78" s="290">
        <f t="shared" si="80"/>
        <v>50.67</v>
      </c>
      <c r="BI78" s="291">
        <f t="shared" si="90"/>
        <v>34.713798522949219</v>
      </c>
      <c r="BJ78" s="280"/>
      <c r="BK78" s="272" t="str">
        <f t="shared" si="81"/>
        <v>SGRLF PC</v>
      </c>
      <c r="BL78" s="290">
        <f t="shared" ref="BL78:BL86" si="98">IFERROR(VLOOKUP($BK78,$BK$111:$BL$195,2,FALSE),0)</f>
        <v>47.38</v>
      </c>
      <c r="BM78" s="290">
        <f t="shared" si="92"/>
        <v>34.056598663330078</v>
      </c>
      <c r="BN78" s="281"/>
      <c r="BO78" s="292" t="str">
        <f t="shared" si="93"/>
        <v>SGRLF PC</v>
      </c>
      <c r="BP78" s="290">
        <f t="shared" si="94"/>
        <v>45.39</v>
      </c>
      <c r="BQ78" s="291">
        <f t="shared" si="61"/>
        <v>30.455600738525391</v>
      </c>
      <c r="BR78" s="280"/>
      <c r="BS78" s="293" t="str">
        <f t="shared" si="95"/>
        <v>SGRLF PC</v>
      </c>
      <c r="BT78" s="290">
        <f t="shared" si="54"/>
        <v>143.44</v>
      </c>
      <c r="BU78" s="291">
        <f t="shared" si="55"/>
        <v>99.225997924804688</v>
      </c>
      <c r="BV78" s="281"/>
      <c r="BW78" s="281"/>
      <c r="BX78" s="281"/>
      <c r="BY78" s="281"/>
      <c r="BZ78" s="281"/>
      <c r="CA78" s="281"/>
      <c r="CB78" s="281"/>
      <c r="CC78" s="280"/>
      <c r="CD78" s="280" t="str">
        <f t="shared" ref="CD78:CD105" si="99">A78</f>
        <v>SGRLF PC</v>
      </c>
      <c r="CE78" s="280">
        <v>74.7</v>
      </c>
      <c r="CF78" s="280">
        <f t="shared" si="96"/>
        <v>33.393199920654297</v>
      </c>
      <c r="CG78" s="280"/>
      <c r="CH78" s="280" t="str">
        <f t="shared" ref="CH78:CH105" si="100">A78</f>
        <v>SGRLF PC</v>
      </c>
      <c r="CI78" s="280">
        <v>74.7</v>
      </c>
      <c r="CJ78" s="284">
        <f t="shared" si="84"/>
        <v>32.006999969482422</v>
      </c>
      <c r="CK78" s="280"/>
      <c r="CL78" s="280" t="str">
        <f t="shared" ref="CL78:CL105" si="101">A78</f>
        <v>SGRLF PC</v>
      </c>
      <c r="CM78" s="280">
        <v>74.7</v>
      </c>
      <c r="CN78" s="284">
        <f t="shared" si="86"/>
        <v>32.763900756835938</v>
      </c>
    </row>
    <row r="79" spans="1:92" ht="15" customHeight="1" x14ac:dyDescent="0.25">
      <c r="A79" s="286" t="s">
        <v>163</v>
      </c>
      <c r="B79" s="286">
        <v>13.710000038146973</v>
      </c>
      <c r="C79" s="287">
        <v>14.033699989318848</v>
      </c>
      <c r="D79" s="287">
        <v>13.903499603271484</v>
      </c>
      <c r="E79" s="287">
        <v>13.331999778747559</v>
      </c>
      <c r="F79" s="287">
        <v>13.655500411987305</v>
      </c>
      <c r="G79" s="287">
        <v>13.097999572753906</v>
      </c>
      <c r="H79" s="287">
        <v>13.416799545288086</v>
      </c>
      <c r="I79" s="287">
        <v>13.298999786376953</v>
      </c>
      <c r="J79" s="287">
        <v>11.911199569702148</v>
      </c>
      <c r="K79" s="287">
        <v>13.075799942016602</v>
      </c>
      <c r="L79" s="287">
        <v>12.548999786376953</v>
      </c>
      <c r="M79" s="288">
        <v>12.861900329589844</v>
      </c>
      <c r="N79" s="289">
        <f t="shared" si="62"/>
        <v>158.84639835357666</v>
      </c>
      <c r="O79" s="304"/>
      <c r="P79" s="285"/>
      <c r="Q79" s="285"/>
      <c r="R79" s="272" t="str">
        <f t="shared" si="63"/>
        <v>SGRLFMT D24</v>
      </c>
      <c r="S79" s="290">
        <f t="shared" si="60"/>
        <v>14.23</v>
      </c>
      <c r="T79" s="291">
        <f t="shared" si="87"/>
        <v>13.710000038146973</v>
      </c>
      <c r="U79" s="270"/>
      <c r="V79" s="272" t="str">
        <f t="shared" si="64"/>
        <v>SGRLFMT D24</v>
      </c>
      <c r="W79" s="290">
        <f t="shared" si="88"/>
        <v>12.82</v>
      </c>
      <c r="X79" s="291">
        <f t="shared" si="65"/>
        <v>14.033699989318848</v>
      </c>
      <c r="Y79" s="270"/>
      <c r="Z79" s="272" t="str">
        <f t="shared" si="66"/>
        <v>SGRLFMT D24</v>
      </c>
      <c r="AA79" s="290">
        <f t="shared" si="89"/>
        <v>16.010000000000002</v>
      </c>
      <c r="AB79" s="291">
        <f t="shared" si="67"/>
        <v>13.903499603271484</v>
      </c>
      <c r="AC79" s="270"/>
      <c r="AD79" s="272" t="str">
        <f t="shared" si="68"/>
        <v>SGRLFMT D24</v>
      </c>
      <c r="AE79" s="290">
        <f t="shared" si="56"/>
        <v>43.06</v>
      </c>
      <c r="AF79" s="291">
        <f t="shared" si="57"/>
        <v>41.647199630737305</v>
      </c>
      <c r="AG79" s="271"/>
      <c r="AH79" s="271"/>
      <c r="AI79" s="271"/>
      <c r="AJ79" s="271"/>
      <c r="AK79" s="271"/>
      <c r="AL79" s="272" t="str">
        <f t="shared" si="69"/>
        <v>SGRLFMT D24</v>
      </c>
      <c r="AM79" s="273">
        <f t="shared" si="97"/>
        <v>14.52</v>
      </c>
      <c r="AN79" s="273">
        <f t="shared" si="71"/>
        <v>13.331999778747559</v>
      </c>
      <c r="AO79" s="274"/>
      <c r="AP79" s="275" t="str">
        <f t="shared" si="72"/>
        <v>SGRLFMT D24</v>
      </c>
      <c r="AQ79" s="275">
        <f t="shared" si="73"/>
        <v>14.67</v>
      </c>
      <c r="AR79" s="273">
        <f t="shared" si="74"/>
        <v>13.655500411987305</v>
      </c>
      <c r="AS79" s="276"/>
      <c r="AT79" s="275" t="str">
        <f t="shared" si="75"/>
        <v>SGRLFMT D24</v>
      </c>
      <c r="AU79" s="273">
        <f>IFERROR(VLOOKUP(AT79,$AT$118:$AU$203,2,FALSE),0)</f>
        <v>14.5</v>
      </c>
      <c r="AV79" s="273">
        <f t="shared" si="77"/>
        <v>13.097999572753906</v>
      </c>
      <c r="AW79" s="277"/>
      <c r="AX79" s="275" t="str">
        <f t="shared" si="78"/>
        <v>SGRLFMT D24</v>
      </c>
      <c r="AY79" s="273">
        <f t="shared" si="58"/>
        <v>43.69</v>
      </c>
      <c r="AZ79" s="273">
        <f t="shared" si="59"/>
        <v>40.08549976348877</v>
      </c>
      <c r="BA79" s="270"/>
      <c r="BB79" s="270"/>
      <c r="BC79" s="270"/>
      <c r="BD79" s="270"/>
      <c r="BE79" s="270"/>
      <c r="BF79" s="280"/>
      <c r="BG79" s="272" t="str">
        <f t="shared" si="79"/>
        <v>SGRLFMT D24</v>
      </c>
      <c r="BH79" s="290">
        <f t="shared" si="80"/>
        <v>14.94</v>
      </c>
      <c r="BI79" s="291">
        <f t="shared" si="90"/>
        <v>13.416799545288086</v>
      </c>
      <c r="BJ79" s="280"/>
      <c r="BK79" s="272" t="str">
        <f t="shared" si="81"/>
        <v>SGRLFMT D24</v>
      </c>
      <c r="BL79" s="290">
        <f t="shared" si="98"/>
        <v>12.96</v>
      </c>
      <c r="BM79" s="290">
        <f t="shared" si="92"/>
        <v>13.298999786376953</v>
      </c>
      <c r="BN79" s="281"/>
      <c r="BO79" s="292" t="str">
        <f t="shared" si="93"/>
        <v>SGRLFMT D24</v>
      </c>
      <c r="BP79" s="290">
        <f t="shared" si="94"/>
        <v>10.83</v>
      </c>
      <c r="BQ79" s="291">
        <f t="shared" si="61"/>
        <v>11.911199569702148</v>
      </c>
      <c r="BR79" s="280"/>
      <c r="BS79" s="293" t="str">
        <f t="shared" si="95"/>
        <v>SGRLFMT D24</v>
      </c>
      <c r="BT79" s="290">
        <f t="shared" si="54"/>
        <v>38.729999999999997</v>
      </c>
      <c r="BU79" s="291">
        <f t="shared" si="55"/>
        <v>38.626998901367188</v>
      </c>
      <c r="BV79" s="281"/>
      <c r="BW79" s="281"/>
      <c r="BX79" s="281"/>
      <c r="BY79" s="281"/>
      <c r="BZ79" s="281"/>
      <c r="CA79" s="281"/>
      <c r="CB79" s="281"/>
      <c r="CC79" s="280"/>
      <c r="CD79" s="280" t="str">
        <f t="shared" si="99"/>
        <v>SGRLFMT D24</v>
      </c>
      <c r="CE79" s="280">
        <v>75.7</v>
      </c>
      <c r="CF79" s="280">
        <f t="shared" si="96"/>
        <v>13.075799942016602</v>
      </c>
      <c r="CG79" s="280"/>
      <c r="CH79" s="280" t="str">
        <f t="shared" si="100"/>
        <v>SGRLFMT D24</v>
      </c>
      <c r="CI79" s="280">
        <v>75.7</v>
      </c>
      <c r="CJ79" s="284">
        <f t="shared" si="84"/>
        <v>12.548999786376953</v>
      </c>
      <c r="CK79" s="280"/>
      <c r="CL79" s="280" t="str">
        <f t="shared" si="101"/>
        <v>SGRLFMT D24</v>
      </c>
      <c r="CM79" s="280">
        <v>75.7</v>
      </c>
      <c r="CN79" s="284">
        <f t="shared" si="86"/>
        <v>12.861900329589844</v>
      </c>
    </row>
    <row r="80" spans="1:92" ht="15" customHeight="1" x14ac:dyDescent="0.25">
      <c r="A80" s="286" t="s">
        <v>136</v>
      </c>
      <c r="B80" s="286">
        <v>320.08499145507812</v>
      </c>
      <c r="C80" s="287">
        <v>324.25381469726562</v>
      </c>
      <c r="D80" s="287">
        <v>318.29559326171875</v>
      </c>
      <c r="E80" s="287">
        <v>302.69699096679687</v>
      </c>
      <c r="F80" s="287">
        <v>307.65948486328125</v>
      </c>
      <c r="G80" s="287">
        <v>293.093994140625</v>
      </c>
      <c r="H80" s="287">
        <v>298.35018920898437</v>
      </c>
      <c r="I80" s="287">
        <v>294.08770751953125</v>
      </c>
      <c r="J80" s="287">
        <v>261.98480224609375</v>
      </c>
      <c r="K80" s="287">
        <v>286.21990966796875</v>
      </c>
      <c r="L80" s="287">
        <v>273.44100952148437</v>
      </c>
      <c r="M80" s="288">
        <v>279.05889892578125</v>
      </c>
      <c r="N80" s="289">
        <f t="shared" si="62"/>
        <v>3559.2273864746094</v>
      </c>
      <c r="O80" s="304"/>
      <c r="P80" s="266" t="s">
        <v>81</v>
      </c>
      <c r="R80" s="272" t="str">
        <f t="shared" si="63"/>
        <v>TRAIL D24</v>
      </c>
      <c r="S80" s="290">
        <f t="shared" si="60"/>
        <v>377.74</v>
      </c>
      <c r="T80" s="291">
        <f t="shared" si="87"/>
        <v>320.08499145507812</v>
      </c>
      <c r="U80" s="270"/>
      <c r="V80" s="272" t="str">
        <f t="shared" si="64"/>
        <v>TRAIL D24</v>
      </c>
      <c r="W80" s="290">
        <f t="shared" si="88"/>
        <v>383.63</v>
      </c>
      <c r="X80" s="291">
        <f>IFERROR(VLOOKUP(V80,$A$6:$M$105,3,FALSE),"")</f>
        <v>324.25381469726562</v>
      </c>
      <c r="Y80" s="270"/>
      <c r="Z80" s="272" t="str">
        <f t="shared" si="66"/>
        <v>TRAIL D24</v>
      </c>
      <c r="AA80" s="290">
        <f t="shared" si="89"/>
        <v>310.77999999999997</v>
      </c>
      <c r="AB80" s="291">
        <f>IFERROR(VLOOKUP(Z80,$A$6:$M$105,4,FALSE),"")</f>
        <v>318.29559326171875</v>
      </c>
      <c r="AC80" s="270"/>
      <c r="AD80" s="272" t="str">
        <f t="shared" si="68"/>
        <v>TRAIL D24</v>
      </c>
      <c r="AE80" s="290">
        <f t="shared" si="56"/>
        <v>1072.1500000000001</v>
      </c>
      <c r="AF80" s="291">
        <f t="shared" si="57"/>
        <v>962.6343994140625</v>
      </c>
      <c r="AG80" s="271"/>
      <c r="AH80" s="271"/>
      <c r="AI80" s="271"/>
      <c r="AJ80" s="271"/>
      <c r="AK80" s="271"/>
      <c r="AL80" s="272" t="str">
        <f t="shared" si="69"/>
        <v>TRAIL D24</v>
      </c>
      <c r="AM80" s="273">
        <f t="shared" si="97"/>
        <v>337.85</v>
      </c>
      <c r="AN80" s="273">
        <f t="shared" si="71"/>
        <v>302.69699096679687</v>
      </c>
      <c r="AO80" s="274"/>
      <c r="AP80" s="275" t="str">
        <f t="shared" si="72"/>
        <v>TRAIL D24</v>
      </c>
      <c r="AQ80" s="275">
        <f t="shared" si="73"/>
        <v>339.8</v>
      </c>
      <c r="AR80" s="273">
        <f t="shared" si="74"/>
        <v>307.65948486328125</v>
      </c>
      <c r="AS80" s="276"/>
      <c r="AT80" s="275" t="str">
        <f t="shared" si="75"/>
        <v>TRAIL D24</v>
      </c>
      <c r="AU80" s="273">
        <f t="shared" ref="AU80:AU86" si="102">IFERROR(VLOOKUP(AT80,$AT$118:$AU$203,2,FALSE),0)</f>
        <v>293.27</v>
      </c>
      <c r="AV80" s="273">
        <f t="shared" si="77"/>
        <v>293.093994140625</v>
      </c>
      <c r="AW80" s="277"/>
      <c r="AX80" s="275" t="str">
        <f t="shared" si="78"/>
        <v>TRAIL D24</v>
      </c>
      <c r="AY80" s="273">
        <f t="shared" si="58"/>
        <v>970.92000000000007</v>
      </c>
      <c r="AZ80" s="273">
        <f t="shared" si="59"/>
        <v>903.45046997070312</v>
      </c>
      <c r="BA80" s="270"/>
      <c r="BB80" s="270"/>
      <c r="BC80" s="270"/>
      <c r="BD80" s="270"/>
      <c r="BE80" s="270"/>
      <c r="BF80" s="280"/>
      <c r="BG80" s="272" t="str">
        <f t="shared" si="79"/>
        <v>TRAIL D24</v>
      </c>
      <c r="BH80" s="290">
        <f t="shared" si="80"/>
        <v>289.63</v>
      </c>
      <c r="BI80" s="291">
        <f t="shared" si="90"/>
        <v>298.35018920898437</v>
      </c>
      <c r="BJ80" s="280"/>
      <c r="BK80" s="272" t="str">
        <f t="shared" si="81"/>
        <v>TRAIL D24</v>
      </c>
      <c r="BL80" s="290">
        <f t="shared" si="98"/>
        <v>287.3</v>
      </c>
      <c r="BM80" s="290">
        <f t="shared" si="92"/>
        <v>294.08770751953125</v>
      </c>
      <c r="BN80" s="281"/>
      <c r="BO80" s="292" t="str">
        <f t="shared" si="93"/>
        <v>TRAIL D24</v>
      </c>
      <c r="BP80" s="290">
        <f t="shared" si="94"/>
        <v>256.31</v>
      </c>
      <c r="BQ80" s="291">
        <f t="shared" si="61"/>
        <v>261.98480224609375</v>
      </c>
      <c r="BR80" s="280"/>
      <c r="BS80" s="293" t="str">
        <f t="shared" si="95"/>
        <v>TRAIL D24</v>
      </c>
      <c r="BT80" s="290">
        <f t="shared" si="54"/>
        <v>833.24</v>
      </c>
      <c r="BU80" s="291">
        <f t="shared" si="55"/>
        <v>854.42269897460938</v>
      </c>
      <c r="BV80" s="281"/>
      <c r="BW80" s="281"/>
      <c r="BX80" s="281"/>
      <c r="BY80" s="281"/>
      <c r="BZ80" s="281"/>
      <c r="CA80" s="281"/>
      <c r="CB80" s="281"/>
      <c r="CC80" s="280"/>
      <c r="CD80" s="280" t="str">
        <f t="shared" si="99"/>
        <v>TRAIL D24</v>
      </c>
      <c r="CE80" s="280">
        <v>76.7</v>
      </c>
      <c r="CF80" s="280">
        <f t="shared" si="96"/>
        <v>286.21990966796875</v>
      </c>
      <c r="CG80" s="280"/>
      <c r="CH80" s="280" t="str">
        <f t="shared" si="100"/>
        <v>TRAIL D24</v>
      </c>
      <c r="CI80" s="280">
        <v>76.7</v>
      </c>
      <c r="CJ80" s="284">
        <f t="shared" si="84"/>
        <v>273.44100952148437</v>
      </c>
      <c r="CK80" s="280"/>
      <c r="CL80" s="280" t="str">
        <f t="shared" si="101"/>
        <v>TRAIL D24</v>
      </c>
      <c r="CM80" s="280">
        <v>76.7</v>
      </c>
      <c r="CN80" s="284">
        <f t="shared" si="86"/>
        <v>279.05889892578125</v>
      </c>
    </row>
    <row r="81" spans="1:93" ht="15" customHeight="1" x14ac:dyDescent="0.25">
      <c r="A81" s="286" t="s">
        <v>137</v>
      </c>
      <c r="B81" s="286">
        <v>1.4550000429153442</v>
      </c>
      <c r="C81" s="287">
        <v>1.5003999471664429</v>
      </c>
      <c r="D81" s="287">
        <v>1.4941999912261963</v>
      </c>
      <c r="E81" s="287">
        <v>1.4429999589920044</v>
      </c>
      <c r="F81" s="287">
        <v>1.4880000352859497</v>
      </c>
      <c r="G81" s="287">
        <v>1.4340000152587891</v>
      </c>
      <c r="H81" s="287">
        <v>1.4787000417709351</v>
      </c>
      <c r="I81" s="287">
        <v>1.475600004196167</v>
      </c>
      <c r="J81" s="287">
        <v>1.3300000429153442</v>
      </c>
      <c r="K81" s="287">
        <v>1.4663000106811523</v>
      </c>
      <c r="L81" s="287">
        <v>1.4160000085830688</v>
      </c>
      <c r="M81" s="288">
        <v>1.4601000547409058</v>
      </c>
      <c r="N81" s="289">
        <f t="shared" si="62"/>
        <v>17.4413001537323</v>
      </c>
      <c r="O81" s="304"/>
      <c r="P81" s="266" t="s">
        <v>94</v>
      </c>
      <c r="R81" s="272" t="str">
        <f t="shared" si="63"/>
        <v>TRAIL PC</v>
      </c>
      <c r="S81" s="290">
        <f t="shared" si="60"/>
        <v>1.68</v>
      </c>
      <c r="T81" s="291">
        <f t="shared" si="87"/>
        <v>1.4550000429153442</v>
      </c>
      <c r="U81" s="270"/>
      <c r="V81" s="272" t="str">
        <f t="shared" si="64"/>
        <v>TRAIL PC</v>
      </c>
      <c r="W81" s="290">
        <f t="shared" si="88"/>
        <v>1.26</v>
      </c>
      <c r="X81" s="291">
        <f t="shared" ref="X81:X104" si="103">IFERROR(VLOOKUP(V81,$A$6:$M$105,3,FALSE),"")</f>
        <v>1.5003999471664429</v>
      </c>
      <c r="Y81" s="270"/>
      <c r="Z81" s="272" t="str">
        <f t="shared" si="66"/>
        <v>TRAIL PC</v>
      </c>
      <c r="AA81" s="290">
        <f t="shared" si="89"/>
        <v>1.6</v>
      </c>
      <c r="AB81" s="291">
        <f t="shared" ref="AB81:AB104" si="104">IFERROR(VLOOKUP(Z81,$A$6:$M$105,4,FALSE),"")</f>
        <v>1.4941999912261963</v>
      </c>
      <c r="AC81" s="270"/>
      <c r="AD81" s="272" t="str">
        <f t="shared" si="68"/>
        <v>TRAIL PC</v>
      </c>
      <c r="AE81" s="290">
        <f t="shared" si="56"/>
        <v>4.54</v>
      </c>
      <c r="AF81" s="291">
        <f t="shared" si="57"/>
        <v>4.4495999813079834</v>
      </c>
      <c r="AG81" s="271"/>
      <c r="AH81" s="271"/>
      <c r="AI81" s="271"/>
      <c r="AJ81" s="271"/>
      <c r="AK81" s="271"/>
      <c r="AL81" s="272" t="str">
        <f t="shared" si="69"/>
        <v>TRAIL PC</v>
      </c>
      <c r="AM81" s="273">
        <f t="shared" si="97"/>
        <v>1.84</v>
      </c>
      <c r="AN81" s="273">
        <f t="shared" si="71"/>
        <v>1.4429999589920044</v>
      </c>
      <c r="AO81" s="274"/>
      <c r="AP81" s="275" t="str">
        <f t="shared" si="72"/>
        <v>TRAIL PC</v>
      </c>
      <c r="AQ81" s="275">
        <f t="shared" si="73"/>
        <v>1.64</v>
      </c>
      <c r="AR81" s="273">
        <f t="shared" si="74"/>
        <v>1.4880000352859497</v>
      </c>
      <c r="AS81" s="276"/>
      <c r="AT81" s="275" t="str">
        <f t="shared" si="75"/>
        <v>TRAIL PC</v>
      </c>
      <c r="AU81" s="273">
        <f t="shared" si="102"/>
        <v>1.79</v>
      </c>
      <c r="AV81" s="273">
        <f t="shared" si="77"/>
        <v>1.4340000152587891</v>
      </c>
      <c r="AW81" s="277"/>
      <c r="AX81" s="275" t="str">
        <f t="shared" si="78"/>
        <v>TRAIL PC</v>
      </c>
      <c r="AY81" s="273">
        <f t="shared" si="58"/>
        <v>5.27</v>
      </c>
      <c r="AZ81" s="273">
        <f t="shared" si="59"/>
        <v>4.3650000095367432</v>
      </c>
      <c r="BA81" s="270"/>
      <c r="BB81" s="270"/>
      <c r="BC81" s="270"/>
      <c r="BD81" s="270"/>
      <c r="BE81" s="270"/>
      <c r="BF81" s="280"/>
      <c r="BG81" s="272" t="str">
        <f t="shared" si="79"/>
        <v>TRAIL PC</v>
      </c>
      <c r="BH81" s="290">
        <f t="shared" si="80"/>
        <v>1.75</v>
      </c>
      <c r="BI81" s="291">
        <f>IFERROR(VLOOKUP($BG81,$A$6:$M$105,8,FALSE),"")</f>
        <v>1.4787000417709351</v>
      </c>
      <c r="BJ81" s="280"/>
      <c r="BK81" s="272" t="str">
        <f t="shared" si="81"/>
        <v>TRAIL PC</v>
      </c>
      <c r="BL81" s="290">
        <f t="shared" si="98"/>
        <v>1.63</v>
      </c>
      <c r="BM81" s="290">
        <f t="shared" si="92"/>
        <v>1.475600004196167</v>
      </c>
      <c r="BN81" s="281"/>
      <c r="BO81" s="292" t="str">
        <f t="shared" si="93"/>
        <v>TRAIL PC</v>
      </c>
      <c r="BP81" s="290">
        <f t="shared" si="94"/>
        <v>1.45</v>
      </c>
      <c r="BQ81" s="291">
        <f t="shared" si="61"/>
        <v>1.3300000429153442</v>
      </c>
      <c r="BR81" s="280"/>
      <c r="BS81" s="293" t="str">
        <f t="shared" si="95"/>
        <v>TRAIL PC</v>
      </c>
      <c r="BT81" s="290">
        <f t="shared" si="54"/>
        <v>4.83</v>
      </c>
      <c r="BU81" s="291">
        <f t="shared" si="55"/>
        <v>4.2843000888824463</v>
      </c>
      <c r="BV81" s="281"/>
      <c r="BW81" s="281"/>
      <c r="BX81" s="281"/>
      <c r="BY81" s="281"/>
      <c r="BZ81" s="281"/>
      <c r="CA81" s="281"/>
      <c r="CB81" s="281"/>
      <c r="CC81" s="280"/>
      <c r="CD81" s="280" t="str">
        <f t="shared" si="99"/>
        <v>TRAIL PC</v>
      </c>
      <c r="CE81" s="280">
        <v>77.7</v>
      </c>
      <c r="CF81" s="280">
        <f t="shared" si="96"/>
        <v>1.4663000106811523</v>
      </c>
      <c r="CG81" s="280"/>
      <c r="CH81" s="280" t="str">
        <f t="shared" si="100"/>
        <v>TRAIL PC</v>
      </c>
      <c r="CI81" s="280">
        <v>77.7</v>
      </c>
      <c r="CJ81" s="284">
        <f t="shared" si="84"/>
        <v>1.4160000085830688</v>
      </c>
      <c r="CK81" s="280"/>
      <c r="CL81" s="280" t="str">
        <f t="shared" si="101"/>
        <v>TRAIL PC</v>
      </c>
      <c r="CM81" s="280">
        <v>77.7</v>
      </c>
      <c r="CN81" s="284">
        <f t="shared" si="86"/>
        <v>1.4601000547409058</v>
      </c>
    </row>
    <row r="82" spans="1:93" ht="15" customHeight="1" x14ac:dyDescent="0.25">
      <c r="A82" s="286" t="s">
        <v>164</v>
      </c>
      <c r="B82" s="286">
        <v>61.889999389648438</v>
      </c>
      <c r="C82" s="287">
        <v>62.604499816894531</v>
      </c>
      <c r="D82" s="287">
        <v>61.342800140380859</v>
      </c>
      <c r="E82" s="287">
        <v>58.217998504638672</v>
      </c>
      <c r="F82" s="287">
        <v>59.039501190185547</v>
      </c>
      <c r="G82" s="287">
        <v>56.11199951171875</v>
      </c>
      <c r="H82" s="287">
        <v>56.981098175048828</v>
      </c>
      <c r="I82" s="287">
        <v>56.032501220703125</v>
      </c>
      <c r="J82" s="287">
        <v>49.795200347900391</v>
      </c>
      <c r="K82" s="287">
        <v>54.017501831054688</v>
      </c>
      <c r="L82" s="287">
        <v>51.483001708984375</v>
      </c>
      <c r="M82" s="288">
        <v>52.414798736572266</v>
      </c>
      <c r="N82" s="289">
        <f t="shared" si="62"/>
        <v>679.93090057373047</v>
      </c>
      <c r="O82" s="304"/>
      <c r="P82" s="266" t="s">
        <v>103</v>
      </c>
      <c r="R82" s="272" t="str">
        <f t="shared" si="63"/>
        <v>TRAILMT D24</v>
      </c>
      <c r="S82" s="290">
        <f t="shared" si="60"/>
        <v>68.180000000000007</v>
      </c>
      <c r="T82" s="291">
        <f t="shared" si="87"/>
        <v>61.889999389648438</v>
      </c>
      <c r="U82" s="270"/>
      <c r="V82" s="272" t="str">
        <f t="shared" si="64"/>
        <v>TRAILMT D24</v>
      </c>
      <c r="W82" s="290">
        <f t="shared" si="88"/>
        <v>76.12</v>
      </c>
      <c r="X82" s="291">
        <f t="shared" si="103"/>
        <v>62.604499816894531</v>
      </c>
      <c r="Y82" s="270"/>
      <c r="Z82" s="272" t="str">
        <f t="shared" si="66"/>
        <v>TRAILMT D24</v>
      </c>
      <c r="AA82" s="290">
        <f t="shared" si="89"/>
        <v>72.31</v>
      </c>
      <c r="AB82" s="291">
        <f t="shared" si="104"/>
        <v>61.342800140380859</v>
      </c>
      <c r="AC82" s="270"/>
      <c r="AD82" s="272" t="str">
        <f t="shared" si="68"/>
        <v>TRAILMT D24</v>
      </c>
      <c r="AE82" s="290">
        <f t="shared" si="56"/>
        <v>216.61</v>
      </c>
      <c r="AF82" s="291">
        <f t="shared" si="57"/>
        <v>185.83729934692383</v>
      </c>
      <c r="AG82" s="271"/>
      <c r="AH82" s="271"/>
      <c r="AI82" s="271"/>
      <c r="AJ82" s="271"/>
      <c r="AK82" s="271"/>
      <c r="AL82" s="272" t="str">
        <f t="shared" si="69"/>
        <v>TRAILMT D24</v>
      </c>
      <c r="AM82" s="273">
        <f t="shared" si="97"/>
        <v>64.540000000000006</v>
      </c>
      <c r="AN82" s="273">
        <f t="shared" si="71"/>
        <v>58.217998504638672</v>
      </c>
      <c r="AO82" s="274"/>
      <c r="AP82" s="275" t="str">
        <f t="shared" si="72"/>
        <v>TRAILMT D24</v>
      </c>
      <c r="AQ82" s="275">
        <f t="shared" si="73"/>
        <v>68.48</v>
      </c>
      <c r="AR82" s="273">
        <f t="shared" si="74"/>
        <v>59.039501190185547</v>
      </c>
      <c r="AS82" s="276"/>
      <c r="AT82" s="275" t="str">
        <f t="shared" si="75"/>
        <v>TRAILMT D24</v>
      </c>
      <c r="AU82" s="273">
        <f t="shared" si="102"/>
        <v>64.010000000000005</v>
      </c>
      <c r="AV82" s="273">
        <f t="shared" si="77"/>
        <v>56.11199951171875</v>
      </c>
      <c r="AW82" s="277"/>
      <c r="AX82" s="275" t="str">
        <f t="shared" si="78"/>
        <v>TRAILMT D24</v>
      </c>
      <c r="AY82" s="273">
        <f t="shared" si="58"/>
        <v>197.03000000000003</v>
      </c>
      <c r="AZ82" s="273">
        <f t="shared" si="59"/>
        <v>173.36949920654297</v>
      </c>
      <c r="BA82" s="270"/>
      <c r="BB82" s="270"/>
      <c r="BC82" s="270"/>
      <c r="BD82" s="270"/>
      <c r="BE82" s="270"/>
      <c r="BF82" s="280"/>
      <c r="BG82" s="272" t="str">
        <f t="shared" si="79"/>
        <v>TRAILMT D24</v>
      </c>
      <c r="BH82" s="290">
        <f t="shared" si="80"/>
        <v>65.3</v>
      </c>
      <c r="BI82" s="291">
        <f t="shared" ref="BI82:BI105" si="105">IFERROR(VLOOKUP($BG82,$A$6:$M$105,8,FALSE),"")</f>
        <v>56.981098175048828</v>
      </c>
      <c r="BJ82" s="280"/>
      <c r="BK82" s="272" t="str">
        <f t="shared" si="81"/>
        <v>TRAILMT D24</v>
      </c>
      <c r="BL82" s="290">
        <f t="shared" si="98"/>
        <v>58.4</v>
      </c>
      <c r="BM82" s="290">
        <f t="shared" si="92"/>
        <v>56.032501220703125</v>
      </c>
      <c r="BN82" s="281"/>
      <c r="BO82" s="292" t="str">
        <f t="shared" si="93"/>
        <v>TRAILMT D24</v>
      </c>
      <c r="BP82" s="290">
        <f t="shared" si="94"/>
        <v>60.53</v>
      </c>
      <c r="BQ82" s="291">
        <f t="shared" si="61"/>
        <v>49.795200347900391</v>
      </c>
      <c r="BR82" s="280"/>
      <c r="BS82" s="293" t="str">
        <f t="shared" si="95"/>
        <v>TRAILMT D24</v>
      </c>
      <c r="BT82" s="290">
        <f t="shared" si="54"/>
        <v>184.23</v>
      </c>
      <c r="BU82" s="291">
        <f t="shared" si="55"/>
        <v>162.80879974365234</v>
      </c>
      <c r="BV82" s="281"/>
      <c r="BW82" s="281"/>
      <c r="BX82" s="281"/>
      <c r="BY82" s="281"/>
      <c r="BZ82" s="281"/>
      <c r="CA82" s="281"/>
      <c r="CB82" s="281"/>
      <c r="CC82" s="280"/>
      <c r="CD82" s="280" t="str">
        <f t="shared" si="99"/>
        <v>TRAILMT D24</v>
      </c>
      <c r="CE82" s="280">
        <v>78.7</v>
      </c>
      <c r="CF82" s="280">
        <f t="shared" si="96"/>
        <v>54.017501831054688</v>
      </c>
      <c r="CG82" s="280"/>
      <c r="CH82" s="280" t="str">
        <f t="shared" si="100"/>
        <v>TRAILMT D24</v>
      </c>
      <c r="CI82" s="280">
        <v>78.7</v>
      </c>
      <c r="CJ82" s="284">
        <f t="shared" si="84"/>
        <v>51.483001708984375</v>
      </c>
      <c r="CK82" s="280"/>
      <c r="CL82" s="280" t="str">
        <f t="shared" si="101"/>
        <v>TRAILMT D24</v>
      </c>
      <c r="CM82" s="280">
        <v>78.7</v>
      </c>
      <c r="CN82" s="284">
        <f t="shared" si="86"/>
        <v>52.414798736572266</v>
      </c>
    </row>
    <row r="83" spans="1:93" ht="15" customHeight="1" x14ac:dyDescent="0.25">
      <c r="A83" s="286" t="s">
        <v>138</v>
      </c>
      <c r="B83" s="286">
        <v>46.250999450683594</v>
      </c>
      <c r="C83" s="287">
        <v>47.398998260498047</v>
      </c>
      <c r="D83" s="287">
        <v>47.011501312255859</v>
      </c>
      <c r="E83" s="287">
        <v>45.125999450683594</v>
      </c>
      <c r="F83" s="287">
        <v>46.261299133300781</v>
      </c>
      <c r="G83" s="287">
        <v>44.409000396728516</v>
      </c>
      <c r="H83" s="287">
        <v>45.52349853515625</v>
      </c>
      <c r="I83" s="287">
        <v>45.163898468017578</v>
      </c>
      <c r="J83" s="287">
        <v>40.4739990234375</v>
      </c>
      <c r="K83" s="287">
        <v>44.463298797607422</v>
      </c>
      <c r="L83" s="287">
        <v>42.689998626708984</v>
      </c>
      <c r="M83" s="288">
        <v>43.775100708007813</v>
      </c>
      <c r="N83" s="289">
        <f t="shared" si="62"/>
        <v>538.54759216308594</v>
      </c>
      <c r="O83" s="304"/>
      <c r="P83" s="295" t="s">
        <v>158</v>
      </c>
      <c r="R83" s="272" t="str">
        <f t="shared" si="63"/>
        <v>WHLA D24</v>
      </c>
      <c r="S83" s="290">
        <f t="shared" si="60"/>
        <v>54.36</v>
      </c>
      <c r="T83" s="291">
        <f t="shared" si="87"/>
        <v>46.250999450683594</v>
      </c>
      <c r="U83" s="270"/>
      <c r="V83" s="272" t="str">
        <f t="shared" si="64"/>
        <v>WHLA D24</v>
      </c>
      <c r="W83" s="290">
        <f t="shared" si="88"/>
        <v>53.97</v>
      </c>
      <c r="X83" s="291">
        <f t="shared" si="103"/>
        <v>47.398998260498047</v>
      </c>
      <c r="Y83" s="270"/>
      <c r="Z83" s="272" t="str">
        <f t="shared" si="66"/>
        <v>WHLA D24</v>
      </c>
      <c r="AA83" s="290">
        <f t="shared" si="89"/>
        <v>52.37</v>
      </c>
      <c r="AB83" s="291">
        <f t="shared" si="104"/>
        <v>47.011501312255859</v>
      </c>
      <c r="AC83" s="270"/>
      <c r="AD83" s="272" t="str">
        <f t="shared" si="68"/>
        <v>WHLA D24</v>
      </c>
      <c r="AE83" s="290">
        <f t="shared" si="56"/>
        <v>160.69999999999999</v>
      </c>
      <c r="AF83" s="291">
        <f t="shared" si="57"/>
        <v>140.6614990234375</v>
      </c>
      <c r="AG83" s="271"/>
      <c r="AH83" s="271"/>
      <c r="AI83" s="271"/>
      <c r="AJ83" s="271"/>
      <c r="AK83" s="271"/>
      <c r="AL83" s="272" t="str">
        <f t="shared" si="69"/>
        <v>WHLA D24</v>
      </c>
      <c r="AM83" s="273">
        <f t="shared" si="97"/>
        <v>49.97</v>
      </c>
      <c r="AN83" s="273">
        <f t="shared" si="71"/>
        <v>45.125999450683594</v>
      </c>
      <c r="AO83" s="274"/>
      <c r="AP83" s="275" t="str">
        <f t="shared" si="72"/>
        <v>WHLA D24</v>
      </c>
      <c r="AQ83" s="275">
        <f t="shared" si="73"/>
        <v>48.64</v>
      </c>
      <c r="AR83" s="273">
        <f t="shared" si="74"/>
        <v>46.261299133300781</v>
      </c>
      <c r="AS83" s="276"/>
      <c r="AT83" s="275" t="str">
        <f t="shared" si="75"/>
        <v>WHLA D24</v>
      </c>
      <c r="AU83" s="273">
        <f t="shared" si="102"/>
        <v>44.92</v>
      </c>
      <c r="AV83" s="273">
        <f t="shared" si="77"/>
        <v>44.409000396728516</v>
      </c>
      <c r="AW83" s="277"/>
      <c r="AX83" s="275" t="str">
        <f t="shared" si="78"/>
        <v>WHLA D24</v>
      </c>
      <c r="AY83" s="273">
        <f t="shared" si="58"/>
        <v>143.53</v>
      </c>
      <c r="AZ83" s="273">
        <f t="shared" si="59"/>
        <v>135.79629898071289</v>
      </c>
      <c r="BA83" s="270"/>
      <c r="BB83" s="270"/>
      <c r="BC83" s="270"/>
      <c r="BD83" s="270"/>
      <c r="BE83" s="270"/>
      <c r="BF83" s="280"/>
      <c r="BG83" s="272" t="str">
        <f t="shared" si="79"/>
        <v>WHLA D24</v>
      </c>
      <c r="BH83" s="290">
        <f t="shared" si="80"/>
        <v>39.33</v>
      </c>
      <c r="BI83" s="291">
        <f t="shared" si="105"/>
        <v>45.52349853515625</v>
      </c>
      <c r="BJ83" s="280"/>
      <c r="BK83" s="272" t="str">
        <f t="shared" si="81"/>
        <v>WHLA D24</v>
      </c>
      <c r="BL83" s="290">
        <f t="shared" si="98"/>
        <v>34.33</v>
      </c>
      <c r="BM83" s="290">
        <f t="shared" si="92"/>
        <v>45.163898468017578</v>
      </c>
      <c r="BN83" s="281"/>
      <c r="BO83" s="292" t="str">
        <f t="shared" si="93"/>
        <v>WHLA D24</v>
      </c>
      <c r="BP83" s="290">
        <f t="shared" si="94"/>
        <v>38.29</v>
      </c>
      <c r="BQ83" s="291">
        <f t="shared" si="61"/>
        <v>40.4739990234375</v>
      </c>
      <c r="BR83" s="280"/>
      <c r="BS83" s="293" t="str">
        <f t="shared" si="95"/>
        <v>WHLA D24</v>
      </c>
      <c r="BT83" s="290">
        <f t="shared" si="54"/>
        <v>111.94999999999999</v>
      </c>
      <c r="BU83" s="291">
        <f t="shared" si="55"/>
        <v>131.16139602661133</v>
      </c>
      <c r="BV83" s="281"/>
      <c r="BW83" s="281"/>
      <c r="BX83" s="281"/>
      <c r="BY83" s="281"/>
      <c r="BZ83" s="281"/>
      <c r="CA83" s="281"/>
      <c r="CB83" s="281"/>
      <c r="CC83" s="280"/>
      <c r="CD83" s="280" t="str">
        <f t="shared" si="99"/>
        <v>WHLA D24</v>
      </c>
      <c r="CE83" s="280">
        <v>79.7</v>
      </c>
      <c r="CF83" s="280">
        <f t="shared" si="96"/>
        <v>44.463298797607422</v>
      </c>
      <c r="CG83" s="280"/>
      <c r="CH83" s="280" t="str">
        <f t="shared" si="100"/>
        <v>WHLA D24</v>
      </c>
      <c r="CI83" s="280">
        <v>79.7</v>
      </c>
      <c r="CJ83" s="284">
        <f t="shared" si="84"/>
        <v>42.689998626708984</v>
      </c>
      <c r="CK83" s="280"/>
      <c r="CL83" s="280" t="str">
        <f t="shared" si="101"/>
        <v>WHLA D24</v>
      </c>
      <c r="CM83" s="280">
        <v>79.7</v>
      </c>
      <c r="CN83" s="284">
        <f t="shared" si="86"/>
        <v>43.775100708007813</v>
      </c>
    </row>
    <row r="84" spans="1:93" ht="15" customHeight="1" x14ac:dyDescent="0.25">
      <c r="A84" s="286" t="s">
        <v>139</v>
      </c>
      <c r="B84" s="286">
        <v>11.972200393676758</v>
      </c>
      <c r="C84" s="287">
        <v>12.291500091552734</v>
      </c>
      <c r="D84" s="287">
        <v>12.204700469970703</v>
      </c>
      <c r="E84" s="287">
        <v>11.72700023651123</v>
      </c>
      <c r="F84" s="287">
        <v>12.034199714660645</v>
      </c>
      <c r="G84" s="287">
        <v>11.562000274658203</v>
      </c>
      <c r="H84" s="287">
        <v>11.863699913024902</v>
      </c>
      <c r="I84" s="287">
        <v>11.776900291442871</v>
      </c>
      <c r="J84" s="287">
        <v>10.564399719238281</v>
      </c>
      <c r="K84" s="287">
        <v>11.612600326538086</v>
      </c>
      <c r="L84" s="287">
        <v>11.159999847412109</v>
      </c>
      <c r="M84" s="288">
        <v>11.448300361633301</v>
      </c>
      <c r="N84" s="289">
        <f t="shared" si="62"/>
        <v>140.21750164031982</v>
      </c>
      <c r="O84" s="304"/>
      <c r="P84" s="301" t="s">
        <v>185</v>
      </c>
      <c r="R84" s="272" t="str">
        <f t="shared" si="63"/>
        <v>WHLA PC</v>
      </c>
      <c r="S84" s="290">
        <f t="shared" si="60"/>
        <v>12.26</v>
      </c>
      <c r="T84" s="291">
        <f t="shared" si="87"/>
        <v>11.972200393676758</v>
      </c>
      <c r="U84" s="270"/>
      <c r="V84" s="272" t="str">
        <f t="shared" si="64"/>
        <v>WHLA PC</v>
      </c>
      <c r="W84" s="290">
        <f t="shared" si="88"/>
        <v>12.71</v>
      </c>
      <c r="X84" s="291">
        <f t="shared" si="103"/>
        <v>12.291500091552734</v>
      </c>
      <c r="Y84" s="270"/>
      <c r="Z84" s="272" t="str">
        <f t="shared" si="66"/>
        <v>WHLA PC</v>
      </c>
      <c r="AA84" s="290">
        <f t="shared" si="89"/>
        <v>13.46</v>
      </c>
      <c r="AB84" s="291">
        <f t="shared" si="104"/>
        <v>12.204700469970703</v>
      </c>
      <c r="AC84" s="270"/>
      <c r="AD84" s="272" t="str">
        <f t="shared" si="68"/>
        <v>WHLA PC</v>
      </c>
      <c r="AE84" s="290">
        <f t="shared" si="56"/>
        <v>38.43</v>
      </c>
      <c r="AF84" s="291">
        <f t="shared" si="57"/>
        <v>36.468400955200195</v>
      </c>
      <c r="AG84" s="305"/>
      <c r="AH84" s="305"/>
      <c r="AI84" s="305"/>
      <c r="AJ84" s="305"/>
      <c r="AK84" s="271"/>
      <c r="AL84" s="272" t="str">
        <f t="shared" si="69"/>
        <v>WHLA PC</v>
      </c>
      <c r="AM84" s="273">
        <f t="shared" si="97"/>
        <v>12.25</v>
      </c>
      <c r="AN84" s="273">
        <f t="shared" si="71"/>
        <v>11.72700023651123</v>
      </c>
      <c r="AO84" s="274"/>
      <c r="AP84" s="275" t="str">
        <f t="shared" si="72"/>
        <v>WHLA PC</v>
      </c>
      <c r="AQ84" s="275">
        <f t="shared" si="73"/>
        <v>12.41</v>
      </c>
      <c r="AR84" s="273">
        <f t="shared" si="74"/>
        <v>12.034199714660645</v>
      </c>
      <c r="AS84" s="276"/>
      <c r="AT84" s="275" t="str">
        <f t="shared" si="75"/>
        <v>WHLA PC</v>
      </c>
      <c r="AU84" s="273">
        <f t="shared" si="102"/>
        <v>11.49</v>
      </c>
      <c r="AV84" s="273">
        <f t="shared" si="77"/>
        <v>11.562000274658203</v>
      </c>
      <c r="AW84" s="306"/>
      <c r="AX84" s="275" t="str">
        <f t="shared" si="78"/>
        <v>WHLA PC</v>
      </c>
      <c r="AY84" s="273">
        <f t="shared" si="58"/>
        <v>36.15</v>
      </c>
      <c r="AZ84" s="273">
        <f t="shared" si="59"/>
        <v>35.323200225830078</v>
      </c>
      <c r="BA84" s="270"/>
      <c r="BB84" s="270"/>
      <c r="BC84" s="270"/>
      <c r="BD84" s="270"/>
      <c r="BE84" s="270"/>
      <c r="BF84" s="281"/>
      <c r="BG84" s="272" t="str">
        <f t="shared" si="79"/>
        <v>WHLA PC</v>
      </c>
      <c r="BH84" s="290">
        <f t="shared" si="80"/>
        <v>9.75</v>
      </c>
      <c r="BI84" s="291">
        <f t="shared" si="105"/>
        <v>11.863699913024902</v>
      </c>
      <c r="BJ84" s="280"/>
      <c r="BK84" s="272" t="str">
        <f t="shared" si="81"/>
        <v>WHLA PC</v>
      </c>
      <c r="BL84" s="290">
        <f t="shared" si="98"/>
        <v>7.8</v>
      </c>
      <c r="BM84" s="290">
        <f t="shared" si="92"/>
        <v>11.776900291442871</v>
      </c>
      <c r="BN84" s="281"/>
      <c r="BO84" s="292" t="str">
        <f t="shared" si="93"/>
        <v>WHLA PC</v>
      </c>
      <c r="BP84" s="290">
        <f t="shared" si="94"/>
        <v>9.9700000000000006</v>
      </c>
      <c r="BQ84" s="291">
        <f t="shared" si="61"/>
        <v>10.564399719238281</v>
      </c>
      <c r="BR84" s="280"/>
      <c r="BS84" s="293" t="str">
        <f t="shared" si="95"/>
        <v>WHLA PC</v>
      </c>
      <c r="BT84" s="290">
        <f t="shared" ref="BT84:BT86" si="106">SUM(BH84,BL84,BP84)</f>
        <v>27.520000000000003</v>
      </c>
      <c r="BU84" s="291">
        <f t="shared" ref="BU84:BU86" si="107">SUM(BI84,BM84,BQ84)</f>
        <v>34.204999923706055</v>
      </c>
      <c r="BV84" s="281"/>
      <c r="BW84" s="281"/>
      <c r="BX84" s="281"/>
      <c r="BY84" s="281"/>
      <c r="BZ84" s="281"/>
      <c r="CA84" s="281"/>
      <c r="CB84" s="281"/>
      <c r="CC84" s="280"/>
      <c r="CD84" s="280" t="str">
        <f t="shared" si="99"/>
        <v>WHLA PC</v>
      </c>
      <c r="CE84" s="280">
        <v>80.7</v>
      </c>
      <c r="CF84" s="280">
        <f t="shared" si="96"/>
        <v>11.612600326538086</v>
      </c>
      <c r="CG84" s="281"/>
      <c r="CH84" s="280" t="str">
        <f t="shared" si="100"/>
        <v>WHLA PC</v>
      </c>
      <c r="CI84" s="280">
        <v>80.7</v>
      </c>
      <c r="CJ84" s="284">
        <f t="shared" si="84"/>
        <v>11.159999847412109</v>
      </c>
      <c r="CK84" s="280"/>
      <c r="CL84" s="280" t="str">
        <f t="shared" si="101"/>
        <v>WHLA PC</v>
      </c>
      <c r="CM84" s="280">
        <v>80.7</v>
      </c>
      <c r="CN84" s="284">
        <f t="shared" si="86"/>
        <v>11.448300361633301</v>
      </c>
    </row>
    <row r="85" spans="1:93" ht="15" customHeight="1" x14ac:dyDescent="0.25">
      <c r="A85" s="286" t="s">
        <v>140</v>
      </c>
      <c r="B85" s="286">
        <v>3.4679999351501465</v>
      </c>
      <c r="C85" s="287">
        <v>3.5464000701904297</v>
      </c>
      <c r="D85" s="287">
        <v>3.5123000144958496</v>
      </c>
      <c r="E85" s="287">
        <v>3.3659999370574951</v>
      </c>
      <c r="F85" s="287">
        <v>3.4409999847412109</v>
      </c>
      <c r="G85" s="287">
        <v>3.2969999313354492</v>
      </c>
      <c r="H85" s="287">
        <v>3.3728001117706299</v>
      </c>
      <c r="I85" s="287">
        <v>3.3417999744415283</v>
      </c>
      <c r="J85" s="287">
        <v>2.9876000881195068</v>
      </c>
      <c r="K85" s="287">
        <v>3.2736001014709473</v>
      </c>
      <c r="L85" s="287">
        <v>3.1380000114440918</v>
      </c>
      <c r="M85" s="288">
        <v>3.2084999084472656</v>
      </c>
      <c r="N85" s="289">
        <f t="shared" si="62"/>
        <v>39.953000068664551</v>
      </c>
      <c r="O85" s="304"/>
      <c r="P85" s="238" t="s">
        <v>120</v>
      </c>
      <c r="R85" s="272" t="str">
        <f t="shared" si="63"/>
        <v>WWILSON D24</v>
      </c>
      <c r="S85" s="290">
        <f t="shared" si="60"/>
        <v>4.5</v>
      </c>
      <c r="T85" s="291">
        <f t="shared" si="87"/>
        <v>3.4679999351501465</v>
      </c>
      <c r="U85" s="270"/>
      <c r="V85" s="272" t="str">
        <f t="shared" si="64"/>
        <v>WWILSON D24</v>
      </c>
      <c r="W85" s="290">
        <f t="shared" si="88"/>
        <v>4.4400000000000004</v>
      </c>
      <c r="X85" s="291">
        <f t="shared" si="103"/>
        <v>3.5464000701904297</v>
      </c>
      <c r="Y85" s="270"/>
      <c r="Z85" s="272" t="str">
        <f t="shared" si="66"/>
        <v>WWILSON D24</v>
      </c>
      <c r="AA85" s="290">
        <f t="shared" si="89"/>
        <v>2.5499999999999998</v>
      </c>
      <c r="AB85" s="291">
        <f t="shared" si="104"/>
        <v>3.5123000144958496</v>
      </c>
      <c r="AC85" s="270"/>
      <c r="AD85" s="272" t="str">
        <f t="shared" si="68"/>
        <v>WWILSON D24</v>
      </c>
      <c r="AE85" s="290">
        <f t="shared" si="56"/>
        <v>11.490000000000002</v>
      </c>
      <c r="AF85" s="291">
        <f t="shared" si="57"/>
        <v>10.526700019836426</v>
      </c>
      <c r="AG85" s="305"/>
      <c r="AH85" s="305"/>
      <c r="AI85" s="305"/>
      <c r="AJ85" s="305"/>
      <c r="AK85" s="271"/>
      <c r="AL85" s="272" t="str">
        <f t="shared" si="69"/>
        <v>WWILSON D24</v>
      </c>
      <c r="AM85" s="273">
        <f t="shared" si="97"/>
        <v>4.72</v>
      </c>
      <c r="AN85" s="273">
        <f t="shared" si="71"/>
        <v>3.3659999370574951</v>
      </c>
      <c r="AO85" s="274"/>
      <c r="AP85" s="275" t="str">
        <f t="shared" si="72"/>
        <v>WWILSON D24</v>
      </c>
      <c r="AQ85" s="275">
        <f t="shared" si="73"/>
        <v>4.58</v>
      </c>
      <c r="AR85" s="273">
        <f t="shared" si="74"/>
        <v>3.4409999847412109</v>
      </c>
      <c r="AS85" s="276"/>
      <c r="AT85" s="275" t="str">
        <f t="shared" si="75"/>
        <v>WWILSON D24</v>
      </c>
      <c r="AU85" s="273">
        <f t="shared" si="102"/>
        <v>4</v>
      </c>
      <c r="AV85" s="273">
        <f t="shared" si="77"/>
        <v>3.2969999313354492</v>
      </c>
      <c r="AW85" s="277"/>
      <c r="AX85" s="275" t="str">
        <f t="shared" si="78"/>
        <v>WWILSON D24</v>
      </c>
      <c r="AY85" s="273">
        <f t="shared" si="58"/>
        <v>13.3</v>
      </c>
      <c r="AZ85" s="273">
        <f t="shared" si="59"/>
        <v>10.103999853134155</v>
      </c>
      <c r="BA85" s="270"/>
      <c r="BB85" s="270"/>
      <c r="BC85" s="270"/>
      <c r="BD85" s="270"/>
      <c r="BE85" s="270"/>
      <c r="BF85" s="280"/>
      <c r="BG85" s="272" t="str">
        <f t="shared" si="79"/>
        <v>WWILSON D24</v>
      </c>
      <c r="BH85" s="290">
        <f t="shared" si="80"/>
        <v>3.88</v>
      </c>
      <c r="BI85" s="291">
        <f t="shared" si="105"/>
        <v>3.3728001117706299</v>
      </c>
      <c r="BJ85" s="280"/>
      <c r="BK85" s="272" t="str">
        <f t="shared" si="81"/>
        <v>WWILSON D24</v>
      </c>
      <c r="BL85" s="290">
        <f t="shared" si="98"/>
        <v>4.25</v>
      </c>
      <c r="BM85" s="290">
        <f t="shared" si="92"/>
        <v>3.3417999744415283</v>
      </c>
      <c r="BN85" s="281"/>
      <c r="BO85" s="292" t="str">
        <f t="shared" si="93"/>
        <v>WWILSON D24</v>
      </c>
      <c r="BP85" s="290">
        <f t="shared" si="94"/>
        <v>3.1</v>
      </c>
      <c r="BQ85" s="291">
        <f t="shared" si="61"/>
        <v>2.9876000881195068</v>
      </c>
      <c r="BR85" s="280"/>
      <c r="BS85" s="293" t="str">
        <f t="shared" si="95"/>
        <v>WWILSON D24</v>
      </c>
      <c r="BT85" s="290">
        <f t="shared" si="106"/>
        <v>11.229999999999999</v>
      </c>
      <c r="BU85" s="291">
        <f t="shared" si="107"/>
        <v>9.702200174331665</v>
      </c>
      <c r="BV85" s="281"/>
      <c r="BW85" s="281"/>
      <c r="BX85" s="281"/>
      <c r="BY85" s="281"/>
      <c r="BZ85" s="281"/>
      <c r="CA85" s="281"/>
      <c r="CB85" s="281"/>
      <c r="CC85" s="280"/>
      <c r="CD85" s="280" t="str">
        <f t="shared" si="99"/>
        <v>WWILSON D24</v>
      </c>
      <c r="CE85" s="280">
        <v>81.7</v>
      </c>
      <c r="CF85" s="280">
        <f t="shared" si="96"/>
        <v>3.2736001014709473</v>
      </c>
      <c r="CG85" s="280"/>
      <c r="CH85" s="280" t="str">
        <f t="shared" si="100"/>
        <v>WWILSON D24</v>
      </c>
      <c r="CI85" s="280">
        <v>81.7</v>
      </c>
      <c r="CJ85" s="284">
        <f t="shared" si="84"/>
        <v>3.1380000114440918</v>
      </c>
      <c r="CK85" s="280"/>
      <c r="CL85" s="280" t="str">
        <f t="shared" si="101"/>
        <v>WWILSON D24</v>
      </c>
      <c r="CM85" s="280">
        <v>81.7</v>
      </c>
      <c r="CN85" s="284">
        <f t="shared" si="86"/>
        <v>3.2084999084472656</v>
      </c>
    </row>
    <row r="86" spans="1:93" ht="15" customHeight="1" x14ac:dyDescent="0.25">
      <c r="A86" s="307" t="s">
        <v>141</v>
      </c>
      <c r="B86" s="307">
        <v>19.509000778198242</v>
      </c>
      <c r="C86" s="308">
        <v>19.998100280761719</v>
      </c>
      <c r="D86" s="308">
        <v>19.83690071105957</v>
      </c>
      <c r="E86" s="308">
        <v>19.044000625610352</v>
      </c>
      <c r="F86" s="308">
        <v>19.523799896240234</v>
      </c>
      <c r="G86" s="308">
        <v>18.740999221801758</v>
      </c>
      <c r="H86" s="308">
        <v>19.210699081420898</v>
      </c>
      <c r="I86" s="308">
        <v>19.058799743652344</v>
      </c>
      <c r="J86" s="308">
        <v>17.079999923706055</v>
      </c>
      <c r="K86" s="308">
        <v>18.758100509643555</v>
      </c>
      <c r="L86" s="308">
        <v>18.009000778198242</v>
      </c>
      <c r="M86" s="309">
        <v>18.460500717163086</v>
      </c>
      <c r="N86" s="289">
        <f t="shared" si="62"/>
        <v>227.22990226745605</v>
      </c>
      <c r="O86" s="304"/>
      <c r="P86" s="238" t="s">
        <v>183</v>
      </c>
      <c r="Q86" s="245"/>
      <c r="R86" s="272" t="str">
        <f t="shared" si="63"/>
        <v>WWILSON PC</v>
      </c>
      <c r="S86" s="290">
        <f t="shared" si="60"/>
        <v>26.46</v>
      </c>
      <c r="T86" s="291">
        <f t="shared" si="87"/>
        <v>19.509000778198242</v>
      </c>
      <c r="U86" s="270"/>
      <c r="V86" s="272" t="str">
        <f t="shared" si="64"/>
        <v>WWILSON PC</v>
      </c>
      <c r="W86" s="290">
        <f t="shared" si="88"/>
        <v>25.16</v>
      </c>
      <c r="X86" s="291">
        <f t="shared" si="103"/>
        <v>19.998100280761719</v>
      </c>
      <c r="Y86" s="270"/>
      <c r="Z86" s="272" t="str">
        <f t="shared" si="66"/>
        <v>WWILSON PC</v>
      </c>
      <c r="AA86" s="290">
        <f t="shared" si="89"/>
        <v>2.4900000000000002</v>
      </c>
      <c r="AB86" s="291">
        <f t="shared" si="104"/>
        <v>19.83690071105957</v>
      </c>
      <c r="AC86" s="270"/>
      <c r="AD86" s="272" t="str">
        <f t="shared" si="68"/>
        <v>WWILSON PC</v>
      </c>
      <c r="AE86" s="290">
        <f t="shared" si="56"/>
        <v>54.110000000000007</v>
      </c>
      <c r="AF86" s="291">
        <f t="shared" si="57"/>
        <v>59.344001770019531</v>
      </c>
      <c r="AG86" s="305"/>
      <c r="AH86" s="305"/>
      <c r="AI86" s="305"/>
      <c r="AJ86" s="305"/>
      <c r="AK86" s="271"/>
      <c r="AL86" s="272" t="str">
        <f t="shared" si="69"/>
        <v>WWILSON PC</v>
      </c>
      <c r="AM86" s="273">
        <f t="shared" si="97"/>
        <v>26.54</v>
      </c>
      <c r="AN86" s="273">
        <f t="shared" si="71"/>
        <v>19.044000625610352</v>
      </c>
      <c r="AO86" s="274"/>
      <c r="AP86" s="275" t="str">
        <f t="shared" si="72"/>
        <v>WWILSON PC</v>
      </c>
      <c r="AQ86" s="275">
        <f t="shared" si="73"/>
        <v>24.63</v>
      </c>
      <c r="AR86" s="273">
        <f t="shared" si="74"/>
        <v>19.523799896240234</v>
      </c>
      <c r="AS86" s="276"/>
      <c r="AT86" s="275" t="str">
        <f t="shared" si="75"/>
        <v>WWILSON PC</v>
      </c>
      <c r="AU86" s="273">
        <f t="shared" si="102"/>
        <v>23.11</v>
      </c>
      <c r="AV86" s="273">
        <f t="shared" si="77"/>
        <v>18.740999221801758</v>
      </c>
      <c r="AW86" s="277"/>
      <c r="AX86" s="275" t="str">
        <f t="shared" si="78"/>
        <v>WWILSON PC</v>
      </c>
      <c r="AY86" s="273">
        <f t="shared" si="58"/>
        <v>74.28</v>
      </c>
      <c r="AZ86" s="273">
        <f t="shared" si="59"/>
        <v>57.308799743652344</v>
      </c>
      <c r="BA86" s="270"/>
      <c r="BB86" s="270"/>
      <c r="BC86" s="270"/>
      <c r="BD86" s="270"/>
      <c r="BE86" s="270"/>
      <c r="BF86" s="280"/>
      <c r="BG86" s="272" t="str">
        <f t="shared" si="79"/>
        <v>WWILSON PC</v>
      </c>
      <c r="BH86" s="310">
        <f t="shared" si="80"/>
        <v>20.11</v>
      </c>
      <c r="BI86" s="291">
        <f t="shared" si="105"/>
        <v>19.210699081420898</v>
      </c>
      <c r="BJ86" s="280"/>
      <c r="BK86" s="272" t="str">
        <f t="shared" si="81"/>
        <v>WWILSON PC</v>
      </c>
      <c r="BL86" s="290">
        <f t="shared" si="98"/>
        <v>20.079999999999998</v>
      </c>
      <c r="BM86" s="290">
        <f t="shared" si="92"/>
        <v>19.058799743652344</v>
      </c>
      <c r="BN86" s="281"/>
      <c r="BO86" s="292" t="str">
        <f t="shared" si="93"/>
        <v>WWILSON PC</v>
      </c>
      <c r="BP86" s="290">
        <f t="shared" si="94"/>
        <v>13.14</v>
      </c>
      <c r="BQ86" s="291">
        <f t="shared" si="61"/>
        <v>17.079999923706055</v>
      </c>
      <c r="BR86" s="280"/>
      <c r="BS86" s="293" t="str">
        <f t="shared" si="95"/>
        <v>WWILSON PC</v>
      </c>
      <c r="BT86" s="290">
        <f t="shared" si="106"/>
        <v>53.33</v>
      </c>
      <c r="BU86" s="291">
        <f t="shared" si="107"/>
        <v>55.349498748779297</v>
      </c>
      <c r="BV86" s="281"/>
      <c r="BW86" s="281"/>
      <c r="BX86" s="281"/>
      <c r="BY86" s="281"/>
      <c r="BZ86" s="281"/>
      <c r="CA86" s="281"/>
      <c r="CB86" s="281"/>
      <c r="CC86" s="280"/>
      <c r="CD86" s="280" t="str">
        <f t="shared" si="99"/>
        <v>WWILSON PC</v>
      </c>
      <c r="CE86" s="280">
        <v>82.7</v>
      </c>
      <c r="CF86" s="280">
        <f t="shared" si="96"/>
        <v>18.758100509643555</v>
      </c>
      <c r="CG86" s="280"/>
      <c r="CH86" s="280" t="str">
        <f t="shared" si="100"/>
        <v>WWILSON PC</v>
      </c>
      <c r="CI86" s="280">
        <v>82.7</v>
      </c>
      <c r="CJ86" s="284">
        <f t="shared" si="84"/>
        <v>18.009000778198242</v>
      </c>
      <c r="CK86" s="280"/>
      <c r="CL86" s="280" t="str">
        <f t="shared" si="101"/>
        <v>WWILSON PC</v>
      </c>
      <c r="CM86" s="280">
        <v>82.7</v>
      </c>
      <c r="CN86" s="284">
        <f t="shared" si="86"/>
        <v>18.460500717163086</v>
      </c>
      <c r="CO86" s="245"/>
    </row>
    <row r="87" spans="1:93" ht="15" customHeight="1" x14ac:dyDescent="0.25">
      <c r="A87" s="311" t="s">
        <v>165</v>
      </c>
      <c r="B87" s="262">
        <f>SUM(B6:B86)</f>
        <v>4536.9418995082378</v>
      </c>
      <c r="C87" s="262">
        <f t="shared" ref="C87:M87" si="108">SUM(C6:C86)</f>
        <v>4604.3890039920807</v>
      </c>
      <c r="D87" s="262">
        <f t="shared" si="108"/>
        <v>4552.2662696242332</v>
      </c>
      <c r="E87" s="262">
        <f t="shared" si="108"/>
        <v>4344.0210144966841</v>
      </c>
      <c r="F87" s="262">
        <f t="shared" si="108"/>
        <v>4428.3531123995781</v>
      </c>
      <c r="G87" s="262">
        <f t="shared" si="108"/>
        <v>4228.6589836776257</v>
      </c>
      <c r="H87" s="262">
        <f t="shared" si="108"/>
        <v>4313.5198350399733</v>
      </c>
      <c r="I87" s="262">
        <f t="shared" si="108"/>
        <v>4259.9704158455133</v>
      </c>
      <c r="J87" s="262">
        <f t="shared" si="108"/>
        <v>3801.4144457280636</v>
      </c>
      <c r="K87" s="262">
        <f t="shared" si="108"/>
        <v>4159.0034631639719</v>
      </c>
      <c r="L87" s="262">
        <f t="shared" si="108"/>
        <v>3978.6480095535517</v>
      </c>
      <c r="M87" s="312">
        <f t="shared" si="108"/>
        <v>4065.0706634676453</v>
      </c>
      <c r="N87" s="313">
        <f t="shared" ref="N87" si="109">SUM(N6:N86)</f>
        <v>51272.25711649716</v>
      </c>
      <c r="O87" s="304"/>
      <c r="Q87" s="245"/>
      <c r="R87" s="314" t="str">
        <f t="shared" si="63"/>
        <v>Legacy Total</v>
      </c>
      <c r="S87" s="315">
        <f>SUM(S6:S86)</f>
        <v>4904.1500000000005</v>
      </c>
      <c r="T87" s="315">
        <f>SUM(T6:T86)</f>
        <v>4536.9418995082378</v>
      </c>
      <c r="U87" s="270"/>
      <c r="V87" s="314" t="str">
        <f t="shared" si="64"/>
        <v>Legacy Total</v>
      </c>
      <c r="W87" s="315">
        <f>SUM(W6:W86)</f>
        <v>5010.6999999999989</v>
      </c>
      <c r="X87" s="315">
        <f t="shared" si="103"/>
        <v>4604.3890039920807</v>
      </c>
      <c r="Y87" s="270"/>
      <c r="Z87" s="314" t="str">
        <f t="shared" si="66"/>
        <v>Legacy Total</v>
      </c>
      <c r="AA87" s="315">
        <f>SUM(AA6:AA86)</f>
        <v>4733.4799999999996</v>
      </c>
      <c r="AB87" s="315">
        <f>SUM(AB6:AB86)</f>
        <v>4552.2662696242332</v>
      </c>
      <c r="AC87" s="270"/>
      <c r="AD87" s="314" t="str">
        <f t="shared" si="68"/>
        <v>Legacy Total</v>
      </c>
      <c r="AE87" s="315">
        <f t="shared" si="56"/>
        <v>14648.329999999998</v>
      </c>
      <c r="AF87" s="315">
        <f t="shared" si="57"/>
        <v>13693.597173124552</v>
      </c>
      <c r="AG87" s="305"/>
      <c r="AH87" s="305"/>
      <c r="AI87" s="305"/>
      <c r="AJ87" s="305"/>
      <c r="AK87" s="271"/>
      <c r="AL87" s="314" t="str">
        <f t="shared" si="69"/>
        <v>Legacy Total</v>
      </c>
      <c r="AM87" s="316">
        <f>SUM(AM6:AM86)</f>
        <v>4651.8800000000019</v>
      </c>
      <c r="AN87" s="316">
        <f>SUM(AN6:AN86)</f>
        <v>4344.0210144966841</v>
      </c>
      <c r="AO87" s="274"/>
      <c r="AP87" s="316" t="str">
        <f t="shared" si="72"/>
        <v>Legacy Total</v>
      </c>
      <c r="AQ87" s="316">
        <f>SUM(AQ6:AQ86)</f>
        <v>4670.41</v>
      </c>
      <c r="AR87" s="316">
        <f>SUM(AR6:AR86)</f>
        <v>4428.3531123995781</v>
      </c>
      <c r="AS87" s="276"/>
      <c r="AT87" s="316" t="str">
        <f t="shared" si="75"/>
        <v>Legacy Total</v>
      </c>
      <c r="AU87" s="316">
        <f>SUM(AU6:AU86)</f>
        <v>4423.01</v>
      </c>
      <c r="AV87" s="316">
        <f>SUM(AV6:AV86)</f>
        <v>4228.6589836776257</v>
      </c>
      <c r="AW87" s="277"/>
      <c r="AX87" s="316" t="str">
        <f t="shared" si="78"/>
        <v>Legacy Total</v>
      </c>
      <c r="AY87" s="316">
        <f t="shared" si="58"/>
        <v>13745.300000000001</v>
      </c>
      <c r="AZ87" s="316">
        <f t="shared" si="59"/>
        <v>13001.033110573888</v>
      </c>
      <c r="BA87" s="270"/>
      <c r="BB87" s="270"/>
      <c r="BC87" s="270"/>
      <c r="BD87" s="270"/>
      <c r="BE87" s="270"/>
      <c r="BF87" s="317">
        <f>(AY87-AZ87)/AZ87</f>
        <v>5.7246749784891519E-2</v>
      </c>
      <c r="BG87" s="318" t="str">
        <f>R87</f>
        <v>Legacy Total</v>
      </c>
      <c r="BH87" s="315">
        <f>SUM(BH6:BH86)</f>
        <v>4385.2899999999981</v>
      </c>
      <c r="BI87" s="319">
        <f>SUM(BI6:BI86)</f>
        <v>4313.5198350399733</v>
      </c>
      <c r="BJ87" s="280"/>
      <c r="BK87" s="314" t="str">
        <f t="shared" si="81"/>
        <v>Legacy Total</v>
      </c>
      <c r="BL87" s="315">
        <f>SUM(BL6:BL86)</f>
        <v>4150.7500000000009</v>
      </c>
      <c r="BM87" s="315">
        <f>SUM(BM6:BM86)</f>
        <v>4259.9704158455133</v>
      </c>
      <c r="BN87" s="281"/>
      <c r="BO87" s="314" t="str">
        <f t="shared" si="93"/>
        <v>Legacy Total</v>
      </c>
      <c r="BP87" s="315">
        <f>SUM(BP6:BP86)</f>
        <v>3823.159999999998</v>
      </c>
      <c r="BQ87" s="315">
        <f>SUM(BQ6:BQ86)</f>
        <v>3801.4144457280636</v>
      </c>
      <c r="BR87" s="280"/>
      <c r="BS87" s="320" t="str">
        <f t="shared" si="95"/>
        <v>Legacy Total</v>
      </c>
      <c r="BT87" s="315">
        <f t="shared" ref="BT87:BU105" si="110">SUM(BH87,BL87,BP87)</f>
        <v>12359.199999999997</v>
      </c>
      <c r="BU87" s="315">
        <f t="shared" si="110"/>
        <v>12374.90469661355</v>
      </c>
      <c r="BV87" s="281"/>
      <c r="BW87" s="281"/>
      <c r="BX87" s="281"/>
      <c r="BY87" s="281"/>
      <c r="BZ87" s="281"/>
      <c r="CA87" s="281"/>
      <c r="CB87" s="281"/>
      <c r="CC87" s="280"/>
      <c r="CD87" s="280" t="str">
        <f t="shared" si="99"/>
        <v>Legacy Total</v>
      </c>
      <c r="CE87" s="280">
        <v>83.7</v>
      </c>
      <c r="CF87" s="280">
        <f t="shared" si="96"/>
        <v>4159.0034631639719</v>
      </c>
      <c r="CG87" s="280"/>
      <c r="CH87" s="280" t="str">
        <f t="shared" si="100"/>
        <v>Legacy Total</v>
      </c>
      <c r="CI87" s="280">
        <v>83.7</v>
      </c>
      <c r="CJ87" s="284">
        <f t="shared" si="84"/>
        <v>3978.6480095535517</v>
      </c>
      <c r="CK87" s="280"/>
      <c r="CL87" s="280" t="str">
        <f t="shared" si="101"/>
        <v>Legacy Total</v>
      </c>
      <c r="CM87" s="280">
        <v>83.7</v>
      </c>
      <c r="CN87" s="284">
        <f t="shared" si="86"/>
        <v>4065.0706634676453</v>
      </c>
      <c r="CO87" s="245"/>
    </row>
    <row r="88" spans="1:93" ht="15" customHeight="1" x14ac:dyDescent="0.25">
      <c r="A88" s="311"/>
      <c r="B88" s="311"/>
      <c r="C88" s="311"/>
      <c r="D88" s="311"/>
      <c r="E88" s="311"/>
      <c r="F88" s="311"/>
      <c r="G88" s="311"/>
      <c r="H88" s="311"/>
      <c r="I88" s="311"/>
      <c r="J88" s="311"/>
      <c r="K88" s="311"/>
      <c r="L88" s="311"/>
      <c r="M88" s="311"/>
      <c r="N88" s="246"/>
      <c r="O88" s="304"/>
      <c r="Q88" s="245"/>
      <c r="R88" s="272"/>
      <c r="S88" s="290"/>
      <c r="T88" s="291"/>
      <c r="U88" s="270"/>
      <c r="V88" s="272"/>
      <c r="W88" s="290"/>
      <c r="X88" s="291" t="str">
        <f t="shared" si="103"/>
        <v/>
      </c>
      <c r="Y88" s="270"/>
      <c r="Z88" s="272"/>
      <c r="AA88" s="290"/>
      <c r="AB88" s="291" t="str">
        <f t="shared" si="104"/>
        <v/>
      </c>
      <c r="AC88" s="270"/>
      <c r="AD88" s="272"/>
      <c r="AE88" s="290"/>
      <c r="AF88" s="291"/>
      <c r="AG88" s="305"/>
      <c r="AH88" s="305"/>
      <c r="AI88" s="305"/>
      <c r="AJ88" s="305"/>
      <c r="AK88" s="271"/>
      <c r="AL88" s="272"/>
      <c r="AM88" s="273"/>
      <c r="AN88" s="273"/>
      <c r="AO88" s="274"/>
      <c r="AP88" s="275"/>
      <c r="AQ88" s="273"/>
      <c r="AR88" s="273" t="str">
        <f t="shared" si="74"/>
        <v/>
      </c>
      <c r="AS88" s="276"/>
      <c r="AT88" s="275"/>
      <c r="AU88" s="273"/>
      <c r="AV88" s="273" t="str">
        <f t="shared" si="77"/>
        <v/>
      </c>
      <c r="AW88" s="277"/>
      <c r="AX88" s="275"/>
      <c r="AY88" s="273"/>
      <c r="AZ88" s="273"/>
      <c r="BA88" s="270"/>
      <c r="BB88" s="270"/>
      <c r="BC88" s="270"/>
      <c r="BD88" s="270"/>
      <c r="BE88" s="270"/>
      <c r="BF88" s="280"/>
      <c r="BG88" s="272"/>
      <c r="BH88" s="290"/>
      <c r="BI88" s="291"/>
      <c r="BJ88" s="280"/>
      <c r="BK88" s="272"/>
      <c r="BL88" s="290"/>
      <c r="BM88" s="290" t="str">
        <f t="shared" si="92"/>
        <v/>
      </c>
      <c r="BN88" s="281"/>
      <c r="BO88" s="292"/>
      <c r="BP88" s="290"/>
      <c r="BQ88" s="291"/>
      <c r="BR88" s="280"/>
      <c r="BS88" s="293"/>
      <c r="BT88" s="290"/>
      <c r="BU88" s="291"/>
      <c r="BV88" s="281"/>
      <c r="BW88" s="281"/>
      <c r="BX88" s="281"/>
      <c r="BY88" s="281"/>
      <c r="BZ88" s="281"/>
      <c r="CA88" s="281"/>
      <c r="CB88" s="281"/>
      <c r="CC88" s="280"/>
      <c r="CD88" s="280"/>
      <c r="CE88" s="280"/>
      <c r="CF88" s="280" t="str">
        <f>IFERROR(VLOOKUP($A88,$A$6:$M$105,11,FALSE),"")</f>
        <v/>
      </c>
      <c r="CG88" s="280"/>
      <c r="CH88" s="280"/>
      <c r="CI88" s="280"/>
      <c r="CJ88" s="284" t="str">
        <f>IFERROR(VLOOKUP($A88,$A$6:$M$105,12,FALSE),"")</f>
        <v/>
      </c>
      <c r="CK88" s="280"/>
      <c r="CL88" s="280"/>
      <c r="CM88" s="280"/>
      <c r="CN88" s="284" t="str">
        <f>IFERROR(VLOOKUP($A88,$A$6:$M$105,13,FALSE),"")</f>
        <v/>
      </c>
      <c r="CO88" s="245"/>
    </row>
    <row r="89" spans="1:93" ht="15" customHeight="1" x14ac:dyDescent="0.25">
      <c r="A89" s="321" t="s">
        <v>231</v>
      </c>
      <c r="B89" s="322">
        <v>42522</v>
      </c>
      <c r="C89" s="322">
        <v>42552</v>
      </c>
      <c r="D89" s="322">
        <v>42583</v>
      </c>
      <c r="E89" s="322">
        <v>42614</v>
      </c>
      <c r="F89" s="322">
        <v>42644</v>
      </c>
      <c r="G89" s="322">
        <v>42675</v>
      </c>
      <c r="H89" s="322">
        <v>42705</v>
      </c>
      <c r="I89" s="322">
        <v>42736</v>
      </c>
      <c r="J89" s="322">
        <v>42767</v>
      </c>
      <c r="K89" s="322">
        <v>42795</v>
      </c>
      <c r="L89" s="322">
        <v>42826</v>
      </c>
      <c r="M89" s="322">
        <v>42856</v>
      </c>
      <c r="N89" s="257" t="s">
        <v>12</v>
      </c>
      <c r="O89" s="304"/>
      <c r="Q89" s="245"/>
      <c r="R89" s="272" t="str">
        <f t="shared" si="63"/>
        <v>New Drill</v>
      </c>
      <c r="S89" s="290"/>
      <c r="T89" s="323">
        <f t="shared" si="87"/>
        <v>42522</v>
      </c>
      <c r="U89" s="270"/>
      <c r="V89" s="272" t="s">
        <v>231</v>
      </c>
      <c r="W89" s="290"/>
      <c r="X89" s="323">
        <f t="shared" si="103"/>
        <v>42552</v>
      </c>
      <c r="Y89" s="270"/>
      <c r="Z89" s="272" t="s">
        <v>231</v>
      </c>
      <c r="AA89" s="290"/>
      <c r="AB89" s="323">
        <f t="shared" si="104"/>
        <v>42583</v>
      </c>
      <c r="AC89" s="270"/>
      <c r="AD89" s="272" t="s">
        <v>231</v>
      </c>
      <c r="AE89" s="290"/>
      <c r="AF89" s="323"/>
      <c r="AG89" s="305"/>
      <c r="AH89" s="305"/>
      <c r="AI89" s="305"/>
      <c r="AJ89" s="305"/>
      <c r="AK89" s="271"/>
      <c r="AL89" s="314" t="s">
        <v>231</v>
      </c>
      <c r="AM89" s="316"/>
      <c r="AN89" s="316"/>
      <c r="AO89" s="274"/>
      <c r="AP89" s="316" t="str">
        <f>AL89</f>
        <v>New Drill</v>
      </c>
      <c r="AQ89" s="316"/>
      <c r="AR89" s="316">
        <f t="shared" si="74"/>
        <v>42644</v>
      </c>
      <c r="AS89" s="276"/>
      <c r="AT89" s="316" t="str">
        <f>AL89</f>
        <v>New Drill</v>
      </c>
      <c r="AU89" s="316"/>
      <c r="AV89" s="316">
        <f t="shared" si="77"/>
        <v>42675</v>
      </c>
      <c r="AW89" s="277"/>
      <c r="AX89" s="316" t="str">
        <f>AL89</f>
        <v>New Drill</v>
      </c>
      <c r="AY89" s="316"/>
      <c r="AZ89" s="316"/>
      <c r="BA89" s="270"/>
      <c r="BB89" s="270"/>
      <c r="BC89" s="270"/>
      <c r="BD89" s="270"/>
      <c r="BE89" s="270"/>
      <c r="BF89" s="281"/>
      <c r="BG89" s="316" t="str">
        <f>AT89</f>
        <v>New Drill</v>
      </c>
      <c r="BH89" s="315"/>
      <c r="BI89" s="315"/>
      <c r="BJ89" s="280"/>
      <c r="BK89" s="314" t="s">
        <v>231</v>
      </c>
      <c r="BL89" s="315"/>
      <c r="BM89" s="315"/>
      <c r="BN89" s="281"/>
      <c r="BO89" s="314" t="s">
        <v>231</v>
      </c>
      <c r="BP89" s="315"/>
      <c r="BQ89" s="315"/>
      <c r="BR89" s="280"/>
      <c r="BS89" s="314" t="str">
        <f t="shared" si="95"/>
        <v>New Drill</v>
      </c>
      <c r="BT89" s="315"/>
      <c r="BU89" s="315"/>
      <c r="BV89" s="281"/>
      <c r="BW89" s="281"/>
      <c r="BX89" s="281"/>
      <c r="BY89" s="281"/>
      <c r="BZ89" s="281"/>
      <c r="CA89" s="281"/>
      <c r="CB89" s="281"/>
      <c r="CC89" s="280"/>
      <c r="CD89" s="280"/>
      <c r="CE89" s="280"/>
      <c r="CF89" s="280">
        <f t="shared" ref="CF89:CF105" si="111">IFERROR(VLOOKUP($A89,$A$6:$M$105,11,FALSE),"")</f>
        <v>42795</v>
      </c>
      <c r="CG89" s="281"/>
      <c r="CH89" s="280"/>
      <c r="CI89" s="280"/>
      <c r="CJ89" s="284">
        <f t="shared" ref="CJ89:CJ105" si="112">IFERROR(VLOOKUP($A89,$A$6:$M$105,12,FALSE),"")</f>
        <v>42826</v>
      </c>
      <c r="CK89" s="280"/>
      <c r="CL89" s="280"/>
      <c r="CM89" s="280"/>
      <c r="CN89" s="284">
        <f t="shared" ref="CN89:CN105" si="113">IFERROR(VLOOKUP($A89,$A$6:$M$105,13,FALSE),"")</f>
        <v>42856</v>
      </c>
      <c r="CO89" s="245"/>
    </row>
    <row r="90" spans="1:93" ht="15" customHeight="1" x14ac:dyDescent="0.25">
      <c r="A90" s="324" t="s">
        <v>232</v>
      </c>
      <c r="B90" s="261">
        <v>20.391000747680664</v>
      </c>
      <c r="C90" s="262">
        <v>19.090200424194336</v>
      </c>
      <c r="D90" s="262">
        <v>17.57080078125</v>
      </c>
      <c r="E90" s="262">
        <v>15.815999984741211</v>
      </c>
      <c r="F90" s="262">
        <v>15.332599639892578</v>
      </c>
      <c r="G90" s="262">
        <v>14.012999534606934</v>
      </c>
      <c r="H90" s="262">
        <v>13.748499870300293</v>
      </c>
      <c r="I90" s="262">
        <v>13.11299991607666</v>
      </c>
      <c r="J90" s="262">
        <v>11.340000152587891</v>
      </c>
      <c r="K90" s="262">
        <v>12.055899620056152</v>
      </c>
      <c r="L90" s="262">
        <v>11.23799991607666</v>
      </c>
      <c r="M90" s="263">
        <v>11.209600448608398</v>
      </c>
      <c r="N90" s="325">
        <f>SUM(B90:M90)</f>
        <v>174.91860103607178</v>
      </c>
      <c r="O90" s="304"/>
      <c r="Q90" s="245"/>
      <c r="R90" s="272" t="str">
        <f t="shared" si="63"/>
        <v>z16 BRUFF</v>
      </c>
      <c r="S90" s="290">
        <f t="shared" ref="S90:S95" si="114">VLOOKUP(R90,$R$118:$S$208,2,FALSE)</f>
        <v>0</v>
      </c>
      <c r="T90" s="291">
        <f t="shared" si="87"/>
        <v>20.391000747680664</v>
      </c>
      <c r="U90" s="270"/>
      <c r="V90" s="272" t="str">
        <f t="shared" si="64"/>
        <v>z16 BRUFF</v>
      </c>
      <c r="W90" s="290">
        <f t="shared" si="88"/>
        <v>0</v>
      </c>
      <c r="X90" s="291">
        <f t="shared" si="103"/>
        <v>19.090200424194336</v>
      </c>
      <c r="Y90" s="270"/>
      <c r="Z90" s="272" t="str">
        <f t="shared" si="66"/>
        <v>z16 BRUFF</v>
      </c>
      <c r="AA90" s="290">
        <f t="shared" si="89"/>
        <v>0</v>
      </c>
      <c r="AB90" s="291">
        <f t="shared" si="104"/>
        <v>17.57080078125</v>
      </c>
      <c r="AC90" s="270"/>
      <c r="AD90" s="272" t="str">
        <f t="shared" si="68"/>
        <v>z16 BRUFF</v>
      </c>
      <c r="AE90" s="290">
        <f t="shared" ref="AE90" si="115">SUM(S90,W90,AA90)</f>
        <v>0</v>
      </c>
      <c r="AF90" s="291">
        <f t="shared" ref="AF90" si="116">SUM(T90,X90,AB90)</f>
        <v>57.052001953125</v>
      </c>
      <c r="AG90" s="305"/>
      <c r="AH90" s="305"/>
      <c r="AI90" s="305"/>
      <c r="AJ90" s="305"/>
      <c r="AK90" s="271"/>
      <c r="AL90" s="272" t="str">
        <f t="shared" si="69"/>
        <v>z16 BRUFF</v>
      </c>
      <c r="AM90" s="273">
        <f t="shared" si="97"/>
        <v>0</v>
      </c>
      <c r="AN90" s="273">
        <f t="shared" si="71"/>
        <v>15.815999984741211</v>
      </c>
      <c r="AO90" s="274"/>
      <c r="AP90" s="275" t="str">
        <f t="shared" si="72"/>
        <v>z16 BRUFF</v>
      </c>
      <c r="AQ90" s="273">
        <f t="shared" ref="AQ90:AQ95" si="117">IFERROR(VLOOKUP(AP90,$AP$118:$AQ$203,2,FALSE),0)</f>
        <v>0</v>
      </c>
      <c r="AR90" s="273">
        <f t="shared" si="74"/>
        <v>15.332599639892578</v>
      </c>
      <c r="AS90" s="276"/>
      <c r="AT90" s="275" t="str">
        <f t="shared" si="75"/>
        <v>z16 BRUFF</v>
      </c>
      <c r="AU90" s="273">
        <f t="shared" ref="AU90:AU95" si="118">IFERROR(VLOOKUP(AT90,$AT$118:$AU$203,2,FALSE),0)</f>
        <v>0</v>
      </c>
      <c r="AV90" s="273">
        <f t="shared" si="77"/>
        <v>14.012999534606934</v>
      </c>
      <c r="AW90" s="306"/>
      <c r="AX90" s="275" t="str">
        <f t="shared" si="78"/>
        <v>z16 BRUFF</v>
      </c>
      <c r="AY90" s="273">
        <f t="shared" si="58"/>
        <v>0</v>
      </c>
      <c r="AZ90" s="273">
        <f t="shared" si="59"/>
        <v>45.161599159240723</v>
      </c>
      <c r="BA90" s="270"/>
      <c r="BB90" s="270"/>
      <c r="BC90" s="270"/>
      <c r="BD90" s="270"/>
      <c r="BE90" s="270"/>
      <c r="BF90" s="281"/>
      <c r="BG90" s="272" t="str">
        <f t="shared" ref="BG90:BG105" si="119">R90</f>
        <v>z16 BRUFF</v>
      </c>
      <c r="BH90" s="290">
        <f t="shared" ref="BH90:BH95" si="120">IFERROR(VLOOKUP($BG90,$BG$111:$BH$197,2,FALSE),0)</f>
        <v>0</v>
      </c>
      <c r="BI90" s="291">
        <f t="shared" si="105"/>
        <v>13.748499870300293</v>
      </c>
      <c r="BJ90" s="280"/>
      <c r="BK90" s="272" t="str">
        <f t="shared" si="81"/>
        <v>z16 BRUFF</v>
      </c>
      <c r="BL90" s="290">
        <f t="shared" ref="BL90" si="121">IFERROR(VLOOKUP($BK90,$BK$111:$BL$195,2,FALSE),0)</f>
        <v>0</v>
      </c>
      <c r="BM90" s="290">
        <f t="shared" si="92"/>
        <v>13.11299991607666</v>
      </c>
      <c r="BN90" s="281"/>
      <c r="BO90" s="292" t="str">
        <f t="shared" si="93"/>
        <v>z16 BRUFF</v>
      </c>
      <c r="BP90" s="290">
        <f t="shared" ref="BP90:BP95" si="122">IFERROR(VLOOKUP($BO90,$BO$111:$BP$196,2,FALSE),0)</f>
        <v>0</v>
      </c>
      <c r="BQ90" s="291">
        <f t="shared" ref="BQ90:BQ95" si="123">IFERROR(VLOOKUP($BO90,$A$6:$M$105,10,FALSE),0)</f>
        <v>11.340000152587891</v>
      </c>
      <c r="BR90" s="280"/>
      <c r="BS90" s="293" t="str">
        <f t="shared" si="95"/>
        <v>z16 BRUFF</v>
      </c>
      <c r="BT90" s="290">
        <v>0</v>
      </c>
      <c r="BU90" s="291">
        <v>0</v>
      </c>
      <c r="BV90" s="281"/>
      <c r="BW90" s="281"/>
      <c r="BX90" s="281"/>
      <c r="BY90" s="281"/>
      <c r="BZ90" s="281"/>
      <c r="CA90" s="281"/>
      <c r="CB90" s="281"/>
      <c r="CC90" s="280"/>
      <c r="CD90" s="280" t="str">
        <f t="shared" si="99"/>
        <v>z16 BRUFF</v>
      </c>
      <c r="CE90" s="280"/>
      <c r="CF90" s="280">
        <f t="shared" si="111"/>
        <v>12.055899620056152</v>
      </c>
      <c r="CG90" s="281"/>
      <c r="CH90" s="280" t="str">
        <f t="shared" si="100"/>
        <v>z16 BRUFF</v>
      </c>
      <c r="CI90" s="280"/>
      <c r="CJ90" s="284">
        <f t="shared" si="112"/>
        <v>11.23799991607666</v>
      </c>
      <c r="CK90" s="280"/>
      <c r="CL90" s="280" t="str">
        <f t="shared" si="101"/>
        <v>z16 BRUFF</v>
      </c>
      <c r="CM90" s="280"/>
      <c r="CN90" s="284">
        <f t="shared" si="113"/>
        <v>11.209600448608398</v>
      </c>
      <c r="CO90" s="245"/>
    </row>
    <row r="91" spans="1:93" ht="15" customHeight="1" x14ac:dyDescent="0.25">
      <c r="A91" s="326" t="s">
        <v>233</v>
      </c>
      <c r="B91" s="286">
        <v>0</v>
      </c>
      <c r="C91" s="287">
        <v>0</v>
      </c>
      <c r="D91" s="287">
        <v>0</v>
      </c>
      <c r="E91" s="287">
        <v>0</v>
      </c>
      <c r="F91" s="287">
        <v>0</v>
      </c>
      <c r="G91" s="287">
        <v>30.621000289916992</v>
      </c>
      <c r="H91" s="287">
        <v>266.91000366210937</v>
      </c>
      <c r="I91" s="287">
        <v>247.77679443359375</v>
      </c>
      <c r="J91" s="287">
        <v>209.42599487304687</v>
      </c>
      <c r="K91" s="287">
        <v>218.37330627441406</v>
      </c>
      <c r="L91" s="287">
        <v>200.08200073242187</v>
      </c>
      <c r="M91" s="288">
        <v>196.62060546875</v>
      </c>
      <c r="N91" s="327">
        <f t="shared" ref="N91:N95" si="124">SUM(B91:M91)</f>
        <v>1369.8097057342529</v>
      </c>
      <c r="O91" s="304"/>
      <c r="P91" s="238" t="s">
        <v>186</v>
      </c>
      <c r="Q91" s="245"/>
      <c r="R91" s="272" t="str">
        <f t="shared" si="63"/>
        <v>z16 CCRK</v>
      </c>
      <c r="S91" s="290">
        <f t="shared" si="114"/>
        <v>0</v>
      </c>
      <c r="T91" s="291">
        <f t="shared" si="87"/>
        <v>0</v>
      </c>
      <c r="U91" s="270"/>
      <c r="V91" s="272" t="str">
        <f t="shared" si="64"/>
        <v>z16 CCRK</v>
      </c>
      <c r="W91" s="290">
        <f t="shared" si="88"/>
        <v>0</v>
      </c>
      <c r="X91" s="291">
        <f t="shared" si="103"/>
        <v>0</v>
      </c>
      <c r="Y91" s="270"/>
      <c r="Z91" s="272" t="str">
        <f t="shared" si="66"/>
        <v>z16 CCRK</v>
      </c>
      <c r="AA91" s="290">
        <f t="shared" si="89"/>
        <v>0</v>
      </c>
      <c r="AB91" s="291">
        <f t="shared" si="104"/>
        <v>0</v>
      </c>
      <c r="AC91" s="270"/>
      <c r="AD91" s="272" t="str">
        <f t="shared" si="68"/>
        <v>z16 CCRK</v>
      </c>
      <c r="AE91" s="290">
        <f t="shared" ref="AE91:AE96" si="125">SUM(S91,W91,AA91)</f>
        <v>0</v>
      </c>
      <c r="AF91" s="291">
        <f t="shared" ref="AF91:AF96" si="126">SUM(T91,X91,AB91)</f>
        <v>0</v>
      </c>
      <c r="AG91" s="271"/>
      <c r="AH91" s="271"/>
      <c r="AI91" s="271"/>
      <c r="AJ91" s="271"/>
      <c r="AK91" s="271"/>
      <c r="AL91" s="272" t="str">
        <f t="shared" si="69"/>
        <v>z16 CCRK</v>
      </c>
      <c r="AM91" s="273">
        <f t="shared" si="97"/>
        <v>0</v>
      </c>
      <c r="AN91" s="273">
        <f t="shared" si="71"/>
        <v>0</v>
      </c>
      <c r="AO91" s="274"/>
      <c r="AP91" s="275" t="str">
        <f t="shared" si="72"/>
        <v>z16 CCRK</v>
      </c>
      <c r="AQ91" s="273">
        <f t="shared" si="117"/>
        <v>0</v>
      </c>
      <c r="AR91" s="273">
        <f t="shared" si="74"/>
        <v>0</v>
      </c>
      <c r="AS91" s="276"/>
      <c r="AT91" s="275" t="str">
        <f t="shared" si="75"/>
        <v>z16 CCRK</v>
      </c>
      <c r="AU91" s="273">
        <f t="shared" si="118"/>
        <v>0</v>
      </c>
      <c r="AV91" s="273">
        <f t="shared" si="77"/>
        <v>30.621000289916992</v>
      </c>
      <c r="AW91" s="306"/>
      <c r="AX91" s="275" t="str">
        <f t="shared" si="78"/>
        <v>z16 CCRK</v>
      </c>
      <c r="AY91" s="273">
        <f t="shared" si="58"/>
        <v>0</v>
      </c>
      <c r="AZ91" s="273">
        <f t="shared" si="59"/>
        <v>30.621000289916992</v>
      </c>
      <c r="BA91" s="270"/>
      <c r="BB91" s="270"/>
      <c r="BC91" s="270"/>
      <c r="BD91" s="270"/>
      <c r="BE91" s="270"/>
      <c r="BF91" s="281"/>
      <c r="BG91" s="272" t="str">
        <f t="shared" si="119"/>
        <v>z16 CCRK</v>
      </c>
      <c r="BH91" s="290">
        <f t="shared" si="120"/>
        <v>0</v>
      </c>
      <c r="BI91" s="291">
        <f t="shared" si="105"/>
        <v>266.91000366210937</v>
      </c>
      <c r="BJ91" s="280"/>
      <c r="BK91" s="272" t="str">
        <f t="shared" si="81"/>
        <v>z16 CCRK</v>
      </c>
      <c r="BL91" s="290">
        <f>IFERROR(VLOOKUP($BK91,$BK$111:$BL$195,2,FALSE),0)</f>
        <v>0</v>
      </c>
      <c r="BM91" s="290">
        <f t="shared" si="92"/>
        <v>247.77679443359375</v>
      </c>
      <c r="BN91" s="281"/>
      <c r="BO91" s="292" t="str">
        <f t="shared" si="93"/>
        <v>z16 CCRK</v>
      </c>
      <c r="BP91" s="290">
        <f t="shared" si="122"/>
        <v>0</v>
      </c>
      <c r="BQ91" s="291">
        <f t="shared" si="123"/>
        <v>209.42599487304687</v>
      </c>
      <c r="BR91" s="280"/>
      <c r="BS91" s="293" t="str">
        <f t="shared" si="95"/>
        <v>z16 CCRK</v>
      </c>
      <c r="BT91" s="290">
        <f t="shared" si="110"/>
        <v>0</v>
      </c>
      <c r="BU91" s="291">
        <f t="shared" ref="BU91:BU105" si="127">SUM(BI91,BM91,BQ91)</f>
        <v>724.11279296875</v>
      </c>
      <c r="BV91" s="281"/>
      <c r="BW91" s="281"/>
      <c r="BX91" s="281"/>
      <c r="BY91" s="281"/>
      <c r="BZ91" s="281"/>
      <c r="CA91" s="281"/>
      <c r="CB91" s="281"/>
      <c r="CC91" s="280"/>
      <c r="CD91" s="280" t="str">
        <f t="shared" si="99"/>
        <v>z16 CCRK</v>
      </c>
      <c r="CE91" s="280">
        <v>85.7</v>
      </c>
      <c r="CF91" s="280">
        <f t="shared" si="111"/>
        <v>218.37330627441406</v>
      </c>
      <c r="CG91" s="281"/>
      <c r="CH91" s="280" t="str">
        <f t="shared" si="100"/>
        <v>z16 CCRK</v>
      </c>
      <c r="CI91" s="280">
        <v>85.7</v>
      </c>
      <c r="CJ91" s="284">
        <f t="shared" si="112"/>
        <v>200.08200073242187</v>
      </c>
      <c r="CK91" s="280"/>
      <c r="CL91" s="280" t="str">
        <f t="shared" si="101"/>
        <v>z16 CCRK</v>
      </c>
      <c r="CM91" s="280">
        <v>85.7</v>
      </c>
      <c r="CN91" s="284">
        <f t="shared" si="113"/>
        <v>196.62060546875</v>
      </c>
      <c r="CO91" s="245"/>
    </row>
    <row r="92" spans="1:93" ht="15" customHeight="1" x14ac:dyDescent="0.25">
      <c r="A92" s="326" t="s">
        <v>234</v>
      </c>
      <c r="B92" s="286">
        <v>15.395999908447266</v>
      </c>
      <c r="C92" s="287">
        <v>13.314499855041504</v>
      </c>
      <c r="D92" s="287">
        <v>11.628100395202637</v>
      </c>
      <c r="E92" s="287">
        <v>10.08899974822998</v>
      </c>
      <c r="F92" s="287">
        <v>9.5108003616333008</v>
      </c>
      <c r="G92" s="287">
        <v>8.508000373840332</v>
      </c>
      <c r="H92" s="287">
        <v>8.2025995254516602</v>
      </c>
      <c r="I92" s="287">
        <v>7.7097001075744629</v>
      </c>
      <c r="J92" s="287">
        <v>6.5883998870849609</v>
      </c>
      <c r="K92" s="287">
        <v>6.9316000938415527</v>
      </c>
      <c r="L92" s="287">
        <v>6.4019999504089355</v>
      </c>
      <c r="M92" s="288">
        <v>6.336400032043457</v>
      </c>
      <c r="N92" s="327">
        <f t="shared" si="124"/>
        <v>110.61710023880005</v>
      </c>
      <c r="O92" s="304"/>
      <c r="P92" s="238" t="s">
        <v>187</v>
      </c>
      <c r="R92" s="272" t="str">
        <f t="shared" si="63"/>
        <v>z16 KINEY</v>
      </c>
      <c r="S92" s="290">
        <f t="shared" si="114"/>
        <v>0</v>
      </c>
      <c r="T92" s="291">
        <f t="shared" si="87"/>
        <v>15.395999908447266</v>
      </c>
      <c r="U92" s="270"/>
      <c r="V92" s="272" t="str">
        <f t="shared" si="64"/>
        <v>z16 KINEY</v>
      </c>
      <c r="W92" s="290">
        <f t="shared" si="88"/>
        <v>0</v>
      </c>
      <c r="X92" s="291">
        <f t="shared" si="103"/>
        <v>13.314499855041504</v>
      </c>
      <c r="Y92" s="270"/>
      <c r="Z92" s="272" t="str">
        <f t="shared" si="66"/>
        <v>z16 KINEY</v>
      </c>
      <c r="AA92" s="290">
        <f t="shared" si="89"/>
        <v>0</v>
      </c>
      <c r="AB92" s="291">
        <f t="shared" si="104"/>
        <v>11.628100395202637</v>
      </c>
      <c r="AC92" s="270"/>
      <c r="AD92" s="272" t="str">
        <f t="shared" si="68"/>
        <v>z16 KINEY</v>
      </c>
      <c r="AE92" s="290">
        <f t="shared" si="125"/>
        <v>0</v>
      </c>
      <c r="AF92" s="291">
        <f t="shared" si="126"/>
        <v>40.338600158691406</v>
      </c>
      <c r="AG92" s="271"/>
      <c r="AH92" s="447" t="s">
        <v>70</v>
      </c>
      <c r="AI92" s="447" t="str">
        <f>'Exhibit 1.1'!P31</f>
        <v>Docket No. 16-057-08</v>
      </c>
      <c r="AJ92" s="447" t="s">
        <v>69</v>
      </c>
      <c r="AK92" s="271"/>
      <c r="AL92" s="272" t="str">
        <f t="shared" si="69"/>
        <v>z16 KINEY</v>
      </c>
      <c r="AM92" s="273">
        <f t="shared" si="97"/>
        <v>23.98</v>
      </c>
      <c r="AN92" s="273">
        <f t="shared" si="71"/>
        <v>10.08899974822998</v>
      </c>
      <c r="AO92" s="274"/>
      <c r="AP92" s="275" t="str">
        <f t="shared" si="72"/>
        <v>z16 KINEY</v>
      </c>
      <c r="AQ92" s="273">
        <f t="shared" si="117"/>
        <v>24.46</v>
      </c>
      <c r="AR92" s="273">
        <f t="shared" si="74"/>
        <v>9.5108003616333008</v>
      </c>
      <c r="AS92" s="276"/>
      <c r="AT92" s="275" t="str">
        <f t="shared" si="75"/>
        <v>z16 KINEY</v>
      </c>
      <c r="AU92" s="273">
        <f t="shared" si="118"/>
        <v>24.13</v>
      </c>
      <c r="AV92" s="273">
        <f t="shared" si="77"/>
        <v>8.508000373840332</v>
      </c>
      <c r="AW92" s="277"/>
      <c r="AX92" s="275" t="str">
        <f t="shared" si="78"/>
        <v>z16 KINEY</v>
      </c>
      <c r="AY92" s="273">
        <f t="shared" si="58"/>
        <v>72.569999999999993</v>
      </c>
      <c r="AZ92" s="273">
        <f t="shared" si="59"/>
        <v>28.107800483703613</v>
      </c>
      <c r="BA92" s="270"/>
      <c r="BB92" s="445" t="s">
        <v>70</v>
      </c>
      <c r="BC92" s="445" t="str">
        <f>'Ex 1 HDD'!I1</f>
        <v>Docket No. 16-057-08</v>
      </c>
      <c r="BD92" s="445" t="s">
        <v>69</v>
      </c>
      <c r="BE92" s="270"/>
      <c r="BF92" s="280"/>
      <c r="BG92" s="272" t="str">
        <f t="shared" si="119"/>
        <v>z16 KINEY</v>
      </c>
      <c r="BH92" s="290">
        <f t="shared" si="120"/>
        <v>22.74</v>
      </c>
      <c r="BI92" s="291">
        <f t="shared" si="105"/>
        <v>8.2025995254516602</v>
      </c>
      <c r="BJ92" s="280"/>
      <c r="BK92" s="272" t="str">
        <f t="shared" si="81"/>
        <v>z16 KINEY</v>
      </c>
      <c r="BL92" s="290">
        <f>IFERROR(VLOOKUP($BK92,$BK$111:$BL$195,2,FALSE),0)</f>
        <v>22.78</v>
      </c>
      <c r="BM92" s="290">
        <f t="shared" si="92"/>
        <v>7.7097001075744629</v>
      </c>
      <c r="BN92" s="281"/>
      <c r="BO92" s="292" t="str">
        <f t="shared" si="93"/>
        <v>z16 KINEY</v>
      </c>
      <c r="BP92" s="290">
        <f t="shared" si="122"/>
        <v>17.21</v>
      </c>
      <c r="BQ92" s="291">
        <f t="shared" si="123"/>
        <v>6.5883998870849609</v>
      </c>
      <c r="BR92" s="280"/>
      <c r="BS92" s="293" t="str">
        <f t="shared" si="95"/>
        <v>z16 KINEY</v>
      </c>
      <c r="BT92" s="290">
        <f t="shared" si="110"/>
        <v>62.73</v>
      </c>
      <c r="BU92" s="291">
        <f t="shared" si="127"/>
        <v>22.500699520111084</v>
      </c>
      <c r="CA92" s="281"/>
      <c r="CB92" s="281"/>
      <c r="CC92" s="280"/>
      <c r="CD92" s="280" t="str">
        <f t="shared" si="99"/>
        <v>z16 KINEY</v>
      </c>
      <c r="CE92" s="280">
        <v>86.7</v>
      </c>
      <c r="CF92" s="280">
        <f t="shared" si="111"/>
        <v>6.9316000938415527</v>
      </c>
      <c r="CG92" s="280"/>
      <c r="CH92" s="280" t="str">
        <f t="shared" si="100"/>
        <v>z16 KINEY</v>
      </c>
      <c r="CI92" s="280">
        <v>86.7</v>
      </c>
      <c r="CJ92" s="284">
        <f t="shared" si="112"/>
        <v>6.4019999504089355</v>
      </c>
      <c r="CK92" s="280"/>
      <c r="CL92" s="280" t="str">
        <f t="shared" si="101"/>
        <v>z16 KINEY</v>
      </c>
      <c r="CM92" s="280">
        <v>86.7</v>
      </c>
      <c r="CN92" s="284">
        <f t="shared" si="113"/>
        <v>6.336400032043457</v>
      </c>
    </row>
    <row r="93" spans="1:93" ht="15" customHeight="1" x14ac:dyDescent="0.25">
      <c r="A93" s="326" t="s">
        <v>235</v>
      </c>
      <c r="B93" s="286">
        <v>36.71002197265625</v>
      </c>
      <c r="C93" s="287">
        <v>138.00111389160156</v>
      </c>
      <c r="D93" s="287">
        <v>126.19170379638672</v>
      </c>
      <c r="E93" s="287">
        <v>107.66100311279297</v>
      </c>
      <c r="F93" s="287">
        <v>100.08350372314453</v>
      </c>
      <c r="G93" s="287">
        <v>236.77799987792969</v>
      </c>
      <c r="H93" s="287">
        <v>367.82431030273437</v>
      </c>
      <c r="I93" s="287">
        <v>322.9114990234375</v>
      </c>
      <c r="J93" s="287">
        <v>262.11358642578125</v>
      </c>
      <c r="K93" s="287">
        <v>264.98489379882812</v>
      </c>
      <c r="L93" s="287">
        <v>236.91299438476562</v>
      </c>
      <c r="M93" s="288">
        <v>228.19099426269531</v>
      </c>
      <c r="N93" s="327">
        <f t="shared" si="124"/>
        <v>2428.3636245727539</v>
      </c>
      <c r="O93" s="304"/>
      <c r="R93" s="272" t="str">
        <f t="shared" si="63"/>
        <v>z16 PINED</v>
      </c>
      <c r="S93" s="290">
        <f t="shared" si="114"/>
        <v>0</v>
      </c>
      <c r="T93" s="291">
        <f t="shared" si="87"/>
        <v>36.71002197265625</v>
      </c>
      <c r="U93" s="270"/>
      <c r="V93" s="272" t="str">
        <f t="shared" si="64"/>
        <v>z16 PINED</v>
      </c>
      <c r="W93" s="290">
        <f t="shared" si="88"/>
        <v>0</v>
      </c>
      <c r="X93" s="291">
        <f t="shared" si="103"/>
        <v>138.00111389160156</v>
      </c>
      <c r="Y93" s="270"/>
      <c r="Z93" s="272" t="str">
        <f t="shared" si="66"/>
        <v>z16 PINED</v>
      </c>
      <c r="AA93" s="290">
        <f t="shared" si="89"/>
        <v>0</v>
      </c>
      <c r="AB93" s="291">
        <f t="shared" si="104"/>
        <v>126.19170379638672</v>
      </c>
      <c r="AC93" s="270"/>
      <c r="AD93" s="272" t="str">
        <f t="shared" si="68"/>
        <v>z16 PINED</v>
      </c>
      <c r="AE93" s="290">
        <f t="shared" si="125"/>
        <v>0</v>
      </c>
      <c r="AF93" s="291">
        <f t="shared" si="126"/>
        <v>300.90283966064453</v>
      </c>
      <c r="AG93" s="271"/>
      <c r="AH93" s="447"/>
      <c r="AI93" s="447"/>
      <c r="AJ93" s="447"/>
      <c r="AK93" s="271"/>
      <c r="AL93" s="272" t="str">
        <f t="shared" si="69"/>
        <v>z16 PINED</v>
      </c>
      <c r="AM93" s="273">
        <f t="shared" si="97"/>
        <v>230.15</v>
      </c>
      <c r="AN93" s="273">
        <f t="shared" si="71"/>
        <v>107.66100311279297</v>
      </c>
      <c r="AO93" s="274"/>
      <c r="AP93" s="275" t="str">
        <f t="shared" si="72"/>
        <v>z16 PINED</v>
      </c>
      <c r="AQ93" s="273">
        <f t="shared" si="117"/>
        <v>400.65</v>
      </c>
      <c r="AR93" s="273">
        <f t="shared" si="74"/>
        <v>100.08350372314453</v>
      </c>
      <c r="AS93" s="276"/>
      <c r="AT93" s="275" t="str">
        <f t="shared" si="75"/>
        <v>z16 PINED</v>
      </c>
      <c r="AU93" s="273">
        <f t="shared" si="118"/>
        <v>330.28</v>
      </c>
      <c r="AV93" s="273">
        <f t="shared" si="77"/>
        <v>236.77799987792969</v>
      </c>
      <c r="AW93" s="277"/>
      <c r="AX93" s="275" t="str">
        <f t="shared" si="78"/>
        <v>z16 PINED</v>
      </c>
      <c r="AY93" s="273">
        <f t="shared" si="58"/>
        <v>961.07999999999993</v>
      </c>
      <c r="AZ93" s="273">
        <f t="shared" si="59"/>
        <v>444.52250671386719</v>
      </c>
      <c r="BA93" s="270"/>
      <c r="BB93" s="445"/>
      <c r="BC93" s="445"/>
      <c r="BD93" s="445"/>
      <c r="BE93" s="270"/>
      <c r="BF93" s="280"/>
      <c r="BG93" s="272" t="str">
        <f t="shared" si="119"/>
        <v>z16 PINED</v>
      </c>
      <c r="BH93" s="290">
        <f t="shared" si="120"/>
        <v>288.77999999999997</v>
      </c>
      <c r="BI93" s="291">
        <f t="shared" si="105"/>
        <v>367.82431030273437</v>
      </c>
      <c r="BJ93" s="280"/>
      <c r="BK93" s="272" t="str">
        <f t="shared" si="81"/>
        <v>z16 PINED</v>
      </c>
      <c r="BL93" s="290">
        <f>IFERROR(VLOOKUP($BK93,$BK$111:$BL$195,2,FALSE),0)</f>
        <v>256.20999999999998</v>
      </c>
      <c r="BM93" s="290">
        <f t="shared" si="92"/>
        <v>322.9114990234375</v>
      </c>
      <c r="BN93" s="281"/>
      <c r="BO93" s="292" t="str">
        <f t="shared" si="93"/>
        <v>z16 PINED</v>
      </c>
      <c r="BP93" s="290">
        <f t="shared" si="122"/>
        <v>211.43</v>
      </c>
      <c r="BQ93" s="291">
        <f t="shared" si="123"/>
        <v>262.11358642578125</v>
      </c>
      <c r="BR93" s="280"/>
      <c r="BS93" s="293" t="str">
        <f t="shared" si="95"/>
        <v>z16 PINED</v>
      </c>
      <c r="BT93" s="290">
        <f>SUM(BH93,BL93,BP93)</f>
        <v>756.42000000000007</v>
      </c>
      <c r="BU93" s="291">
        <f t="shared" si="127"/>
        <v>952.84939575195312</v>
      </c>
      <c r="CA93" s="281"/>
      <c r="CB93" s="281"/>
      <c r="CC93" s="280"/>
      <c r="CD93" s="280" t="str">
        <f t="shared" si="99"/>
        <v>z16 PINED</v>
      </c>
      <c r="CE93" s="280">
        <v>87.7</v>
      </c>
      <c r="CF93" s="280">
        <f t="shared" si="111"/>
        <v>264.98489379882812</v>
      </c>
      <c r="CG93" s="280"/>
      <c r="CH93" s="280" t="str">
        <f t="shared" si="100"/>
        <v>z16 PINED</v>
      </c>
      <c r="CI93" s="280">
        <v>87.7</v>
      </c>
      <c r="CJ93" s="284">
        <f t="shared" si="112"/>
        <v>236.91299438476562</v>
      </c>
      <c r="CK93" s="280"/>
      <c r="CL93" s="280" t="str">
        <f t="shared" si="101"/>
        <v>z16 PINED</v>
      </c>
      <c r="CM93" s="280">
        <v>87.7</v>
      </c>
      <c r="CN93" s="284">
        <f t="shared" si="113"/>
        <v>228.19099426269531</v>
      </c>
    </row>
    <row r="94" spans="1:93" ht="15" customHeight="1" x14ac:dyDescent="0.25">
      <c r="A94" s="328" t="s">
        <v>236</v>
      </c>
      <c r="B94" s="329">
        <v>0</v>
      </c>
      <c r="C94" s="330">
        <v>0</v>
      </c>
      <c r="D94" s="330">
        <v>0</v>
      </c>
      <c r="E94" s="330">
        <v>0</v>
      </c>
      <c r="F94" s="330">
        <v>43.489898681640625</v>
      </c>
      <c r="G94" s="330">
        <v>42.087001800537109</v>
      </c>
      <c r="H94" s="330">
        <v>39.168498992919922</v>
      </c>
      <c r="I94" s="330">
        <v>35.206699371337891</v>
      </c>
      <c r="J94" s="330">
        <v>29.010799407958984</v>
      </c>
      <c r="K94" s="330">
        <v>29.629800796508789</v>
      </c>
      <c r="L94" s="330">
        <v>26.687999725341797</v>
      </c>
      <c r="M94" s="289">
        <v>25.844699859619141</v>
      </c>
      <c r="N94" s="327">
        <f t="shared" si="124"/>
        <v>271.12539863586426</v>
      </c>
      <c r="R94" s="272" t="str">
        <f t="shared" si="63"/>
        <v>z16 TRAIL</v>
      </c>
      <c r="S94" s="290">
        <f t="shared" si="114"/>
        <v>0</v>
      </c>
      <c r="T94" s="291">
        <f t="shared" si="87"/>
        <v>0</v>
      </c>
      <c r="U94" s="270"/>
      <c r="V94" s="272" t="str">
        <f t="shared" si="64"/>
        <v>z16 TRAIL</v>
      </c>
      <c r="W94" s="290">
        <f t="shared" si="88"/>
        <v>0</v>
      </c>
      <c r="X94" s="291">
        <f t="shared" si="103"/>
        <v>0</v>
      </c>
      <c r="Y94" s="270"/>
      <c r="Z94" s="272" t="str">
        <f t="shared" si="66"/>
        <v>z16 TRAIL</v>
      </c>
      <c r="AA94" s="290">
        <f t="shared" si="89"/>
        <v>0</v>
      </c>
      <c r="AB94" s="291">
        <f t="shared" si="104"/>
        <v>0</v>
      </c>
      <c r="AC94" s="270"/>
      <c r="AD94" s="272" t="str">
        <f t="shared" si="68"/>
        <v>z16 TRAIL</v>
      </c>
      <c r="AE94" s="290">
        <f t="shared" si="125"/>
        <v>0</v>
      </c>
      <c r="AF94" s="291">
        <f t="shared" si="126"/>
        <v>0</v>
      </c>
      <c r="AG94" s="271"/>
      <c r="AH94" s="447"/>
      <c r="AI94" s="447"/>
      <c r="AJ94" s="447"/>
      <c r="AK94" s="271"/>
      <c r="AL94" s="272" t="str">
        <f t="shared" si="69"/>
        <v>z16 TRAIL</v>
      </c>
      <c r="AM94" s="273">
        <f t="shared" si="97"/>
        <v>0</v>
      </c>
      <c r="AN94" s="273">
        <f t="shared" si="71"/>
        <v>0</v>
      </c>
      <c r="AO94" s="274"/>
      <c r="AP94" s="275" t="str">
        <f t="shared" si="72"/>
        <v>z16 TRAIL</v>
      </c>
      <c r="AQ94" s="273">
        <f t="shared" si="117"/>
        <v>0</v>
      </c>
      <c r="AR94" s="273">
        <f t="shared" si="74"/>
        <v>43.489898681640625</v>
      </c>
      <c r="AS94" s="276"/>
      <c r="AT94" s="275" t="str">
        <f t="shared" si="75"/>
        <v>z16 TRAIL</v>
      </c>
      <c r="AU94" s="273">
        <f t="shared" si="118"/>
        <v>0</v>
      </c>
      <c r="AV94" s="273">
        <f t="shared" si="77"/>
        <v>42.087001800537109</v>
      </c>
      <c r="AW94" s="277"/>
      <c r="AX94" s="275" t="str">
        <f t="shared" si="78"/>
        <v>z16 TRAIL</v>
      </c>
      <c r="AY94" s="273">
        <f t="shared" si="58"/>
        <v>0</v>
      </c>
      <c r="AZ94" s="273">
        <f t="shared" si="59"/>
        <v>85.576900482177734</v>
      </c>
      <c r="BA94" s="270"/>
      <c r="BB94" s="445"/>
      <c r="BC94" s="445"/>
      <c r="BD94" s="445"/>
      <c r="BE94" s="270"/>
      <c r="BF94" s="280"/>
      <c r="BG94" s="272" t="str">
        <f t="shared" si="119"/>
        <v>z16 TRAIL</v>
      </c>
      <c r="BH94" s="290">
        <f t="shared" si="120"/>
        <v>0</v>
      </c>
      <c r="BI94" s="291">
        <f t="shared" si="105"/>
        <v>39.168498992919922</v>
      </c>
      <c r="BJ94" s="280"/>
      <c r="BK94" s="272" t="str">
        <f t="shared" si="81"/>
        <v>z16 TRAIL</v>
      </c>
      <c r="BL94" s="290">
        <f>IFERROR(VLOOKUP($BK94,$BK$111:$BL$195,2,FALSE),0)</f>
        <v>0</v>
      </c>
      <c r="BM94" s="290">
        <f t="shared" si="92"/>
        <v>35.206699371337891</v>
      </c>
      <c r="BN94" s="281"/>
      <c r="BO94" s="292" t="str">
        <f t="shared" si="93"/>
        <v>z16 TRAIL</v>
      </c>
      <c r="BP94" s="290">
        <f t="shared" si="122"/>
        <v>0</v>
      </c>
      <c r="BQ94" s="291">
        <f t="shared" si="123"/>
        <v>29.010799407958984</v>
      </c>
      <c r="BR94" s="280"/>
      <c r="BS94" s="293" t="str">
        <f t="shared" si="95"/>
        <v>z16 TRAIL</v>
      </c>
      <c r="BT94" s="290">
        <f t="shared" si="110"/>
        <v>0</v>
      </c>
      <c r="BU94" s="291">
        <f t="shared" si="127"/>
        <v>103.3859977722168</v>
      </c>
      <c r="CA94" s="281"/>
      <c r="CB94" s="281"/>
      <c r="CC94" s="280"/>
      <c r="CD94" s="280" t="str">
        <f t="shared" si="99"/>
        <v>z16 TRAIL</v>
      </c>
      <c r="CE94" s="280">
        <v>88.7</v>
      </c>
      <c r="CF94" s="280">
        <f t="shared" si="111"/>
        <v>29.629800796508789</v>
      </c>
      <c r="CG94" s="280"/>
      <c r="CH94" s="280" t="str">
        <f t="shared" si="100"/>
        <v>z16 TRAIL</v>
      </c>
      <c r="CI94" s="280">
        <v>88.7</v>
      </c>
      <c r="CJ94" s="284">
        <f t="shared" si="112"/>
        <v>26.687999725341797</v>
      </c>
      <c r="CK94" s="280"/>
      <c r="CL94" s="280" t="str">
        <f t="shared" si="101"/>
        <v>z16 TRAIL</v>
      </c>
      <c r="CM94" s="280">
        <v>88.7</v>
      </c>
      <c r="CN94" s="284">
        <f t="shared" si="113"/>
        <v>25.844699859619141</v>
      </c>
    </row>
    <row r="95" spans="1:93" ht="15" customHeight="1" x14ac:dyDescent="0.25">
      <c r="A95" s="331" t="s">
        <v>237</v>
      </c>
      <c r="B95" s="332">
        <v>0</v>
      </c>
      <c r="C95" s="333">
        <v>0</v>
      </c>
      <c r="D95" s="333">
        <v>0</v>
      </c>
      <c r="E95" s="333">
        <v>0</v>
      </c>
      <c r="F95" s="333">
        <v>0</v>
      </c>
      <c r="G95" s="333">
        <v>0</v>
      </c>
      <c r="H95" s="333">
        <v>0</v>
      </c>
      <c r="I95" s="333">
        <v>43.489898681640625</v>
      </c>
      <c r="J95" s="333">
        <v>39.281200408935547</v>
      </c>
      <c r="K95" s="333">
        <v>39.168498992919922</v>
      </c>
      <c r="L95" s="333">
        <v>34.070999145507813</v>
      </c>
      <c r="M95" s="334">
        <v>32.119098663330078</v>
      </c>
      <c r="N95" s="335">
        <f t="shared" si="124"/>
        <v>188.12969589233398</v>
      </c>
      <c r="R95" s="272" t="str">
        <f t="shared" si="63"/>
        <v>z17 TRAIL</v>
      </c>
      <c r="S95" s="290">
        <f t="shared" si="114"/>
        <v>0</v>
      </c>
      <c r="T95" s="291">
        <f t="shared" si="87"/>
        <v>0</v>
      </c>
      <c r="U95" s="270"/>
      <c r="V95" s="272" t="str">
        <f t="shared" si="64"/>
        <v>z17 TRAIL</v>
      </c>
      <c r="W95" s="290">
        <f t="shared" si="88"/>
        <v>0</v>
      </c>
      <c r="X95" s="291">
        <f t="shared" si="103"/>
        <v>0</v>
      </c>
      <c r="Y95" s="270"/>
      <c r="Z95" s="272" t="str">
        <f t="shared" si="66"/>
        <v>z17 TRAIL</v>
      </c>
      <c r="AA95" s="290">
        <f t="shared" si="89"/>
        <v>0</v>
      </c>
      <c r="AB95" s="291">
        <f t="shared" si="104"/>
        <v>0</v>
      </c>
      <c r="AC95" s="270"/>
      <c r="AD95" s="272" t="str">
        <f t="shared" si="68"/>
        <v>z17 TRAIL</v>
      </c>
      <c r="AE95" s="290">
        <f t="shared" si="125"/>
        <v>0</v>
      </c>
      <c r="AF95" s="291">
        <f t="shared" si="126"/>
        <v>0</v>
      </c>
      <c r="AG95" s="271"/>
      <c r="AH95" s="447"/>
      <c r="AI95" s="447"/>
      <c r="AJ95" s="447"/>
      <c r="AK95" s="271"/>
      <c r="AL95" s="272" t="str">
        <f t="shared" si="69"/>
        <v>z17 TRAIL</v>
      </c>
      <c r="AM95" s="273">
        <f t="shared" si="97"/>
        <v>0</v>
      </c>
      <c r="AN95" s="273">
        <f t="shared" si="71"/>
        <v>0</v>
      </c>
      <c r="AO95" s="274"/>
      <c r="AP95" s="275" t="str">
        <f t="shared" si="72"/>
        <v>z17 TRAIL</v>
      </c>
      <c r="AQ95" s="273">
        <f t="shared" si="117"/>
        <v>0</v>
      </c>
      <c r="AR95" s="273">
        <f t="shared" si="74"/>
        <v>0</v>
      </c>
      <c r="AS95" s="276"/>
      <c r="AT95" s="275" t="str">
        <f t="shared" si="75"/>
        <v>z17 TRAIL</v>
      </c>
      <c r="AU95" s="273">
        <f t="shared" si="118"/>
        <v>0</v>
      </c>
      <c r="AV95" s="273">
        <f t="shared" si="77"/>
        <v>0</v>
      </c>
      <c r="AW95" s="277"/>
      <c r="AX95" s="275" t="str">
        <f t="shared" si="78"/>
        <v>z17 TRAIL</v>
      </c>
      <c r="AY95" s="273">
        <f t="shared" si="58"/>
        <v>0</v>
      </c>
      <c r="AZ95" s="273">
        <f t="shared" si="59"/>
        <v>0</v>
      </c>
      <c r="BA95" s="270"/>
      <c r="BB95" s="445"/>
      <c r="BC95" s="445"/>
      <c r="BD95" s="445"/>
      <c r="BE95" s="270"/>
      <c r="BF95" s="280"/>
      <c r="BG95" s="272" t="str">
        <f t="shared" si="119"/>
        <v>z17 TRAIL</v>
      </c>
      <c r="BH95" s="290">
        <f t="shared" si="120"/>
        <v>0</v>
      </c>
      <c r="BI95" s="291">
        <f t="shared" si="105"/>
        <v>0</v>
      </c>
      <c r="BJ95" s="280"/>
      <c r="BK95" s="272" t="str">
        <f t="shared" si="81"/>
        <v>z17 TRAIL</v>
      </c>
      <c r="BL95" s="290">
        <f>IFERROR(VLOOKUP($BK95,$BK$111:$BL$195,2,FALSE),0)</f>
        <v>0</v>
      </c>
      <c r="BM95" s="290">
        <f t="shared" si="92"/>
        <v>43.489898681640625</v>
      </c>
      <c r="BN95" s="281"/>
      <c r="BO95" s="292" t="str">
        <f t="shared" si="93"/>
        <v>z17 TRAIL</v>
      </c>
      <c r="BP95" s="290">
        <f t="shared" si="122"/>
        <v>0</v>
      </c>
      <c r="BQ95" s="291">
        <f t="shared" si="123"/>
        <v>39.281200408935547</v>
      </c>
      <c r="BR95" s="280"/>
      <c r="BS95" s="293" t="str">
        <f t="shared" si="95"/>
        <v>z17 TRAIL</v>
      </c>
      <c r="BT95" s="290">
        <f t="shared" si="110"/>
        <v>0</v>
      </c>
      <c r="BU95" s="291">
        <f t="shared" si="127"/>
        <v>82.771099090576172</v>
      </c>
      <c r="CA95" s="281"/>
      <c r="CB95" s="281"/>
      <c r="CC95" s="280"/>
      <c r="CD95" s="280"/>
      <c r="CE95" s="280"/>
      <c r="CF95" s="280">
        <f t="shared" si="111"/>
        <v>39.168498992919922</v>
      </c>
      <c r="CG95" s="280"/>
      <c r="CH95" s="280"/>
      <c r="CI95" s="280"/>
      <c r="CJ95" s="284">
        <f t="shared" si="112"/>
        <v>34.070999145507813</v>
      </c>
      <c r="CK95" s="280"/>
      <c r="CL95" s="280"/>
      <c r="CM95" s="280"/>
      <c r="CN95" s="284">
        <f t="shared" si="113"/>
        <v>32.119098663330078</v>
      </c>
    </row>
    <row r="96" spans="1:93" ht="15" customHeight="1" x14ac:dyDescent="0.25">
      <c r="A96" s="246"/>
      <c r="B96" s="246">
        <f>SUM(B90:B95)</f>
        <v>72.49702262878418</v>
      </c>
      <c r="C96" s="246">
        <f t="shared" ref="C96:N96" si="128">SUM(C90:C95)</f>
        <v>170.4058141708374</v>
      </c>
      <c r="D96" s="246">
        <f t="shared" si="128"/>
        <v>155.39060497283936</v>
      </c>
      <c r="E96" s="246">
        <f t="shared" si="128"/>
        <v>133.56600284576416</v>
      </c>
      <c r="F96" s="246">
        <f t="shared" si="128"/>
        <v>168.41680240631104</v>
      </c>
      <c r="G96" s="246">
        <f t="shared" si="128"/>
        <v>332.00700187683105</v>
      </c>
      <c r="H96" s="246">
        <f t="shared" si="128"/>
        <v>695.85391235351562</v>
      </c>
      <c r="I96" s="246">
        <f t="shared" si="128"/>
        <v>670.20759153366089</v>
      </c>
      <c r="J96" s="246">
        <f t="shared" si="128"/>
        <v>557.75998115539551</v>
      </c>
      <c r="K96" s="246">
        <f t="shared" si="128"/>
        <v>571.1439995765686</v>
      </c>
      <c r="L96" s="246">
        <f t="shared" si="128"/>
        <v>515.39399385452271</v>
      </c>
      <c r="M96" s="246">
        <f t="shared" si="128"/>
        <v>500.32139873504639</v>
      </c>
      <c r="N96" s="246">
        <f t="shared" si="128"/>
        <v>4542.9641261100769</v>
      </c>
      <c r="R96" s="314" t="s">
        <v>251</v>
      </c>
      <c r="S96" s="315">
        <f>SUM(S90:S95)</f>
        <v>0</v>
      </c>
      <c r="T96" s="315">
        <f>SUM(T90:T95)</f>
        <v>72.49702262878418</v>
      </c>
      <c r="U96" s="270"/>
      <c r="V96" s="314" t="s">
        <v>251</v>
      </c>
      <c r="W96" s="315">
        <f>SUM(W90:W95)</f>
        <v>0</v>
      </c>
      <c r="X96" s="315">
        <f>SUM(X90:X95)</f>
        <v>170.4058141708374</v>
      </c>
      <c r="Y96" s="270"/>
      <c r="Z96" s="314" t="s">
        <v>251</v>
      </c>
      <c r="AA96" s="315">
        <f>SUM(AA90:AA95)</f>
        <v>0</v>
      </c>
      <c r="AB96" s="315">
        <f>SUM(AB90:AB95)</f>
        <v>155.39060497283936</v>
      </c>
      <c r="AC96" s="270"/>
      <c r="AD96" s="314" t="s">
        <v>251</v>
      </c>
      <c r="AE96" s="315">
        <f t="shared" si="125"/>
        <v>0</v>
      </c>
      <c r="AF96" s="315">
        <f t="shared" si="126"/>
        <v>398.29344177246094</v>
      </c>
      <c r="AG96" s="271"/>
      <c r="AH96" s="447"/>
      <c r="AI96" s="447"/>
      <c r="AJ96" s="447"/>
      <c r="AK96" s="271"/>
      <c r="AL96" s="314" t="s">
        <v>251</v>
      </c>
      <c r="AM96" s="316">
        <f>SUM(AM90:AM95)</f>
        <v>254.13</v>
      </c>
      <c r="AN96" s="316">
        <f>SUM(AN90:AN95)</f>
        <v>133.56600284576416</v>
      </c>
      <c r="AO96" s="274"/>
      <c r="AP96" s="316" t="str">
        <f>AL96</f>
        <v>New Drill Total</v>
      </c>
      <c r="AQ96" s="316">
        <f>SUM(AQ90:AQ95)</f>
        <v>425.10999999999996</v>
      </c>
      <c r="AR96" s="316">
        <f>SUM(AR90:AR95)</f>
        <v>168.41680240631104</v>
      </c>
      <c r="AS96" s="276"/>
      <c r="AT96" s="316" t="str">
        <f t="shared" si="75"/>
        <v>New Drill Total</v>
      </c>
      <c r="AU96" s="316">
        <f>SUM(AU90:AU95)</f>
        <v>354.40999999999997</v>
      </c>
      <c r="AV96" s="316">
        <f>SUM(AV90:AV95)</f>
        <v>332.00700187683105</v>
      </c>
      <c r="AW96" s="306"/>
      <c r="AX96" s="316" t="str">
        <f t="shared" si="78"/>
        <v>New Drill Total</v>
      </c>
      <c r="AY96" s="316">
        <f t="shared" si="58"/>
        <v>1033.6500000000001</v>
      </c>
      <c r="AZ96" s="316">
        <f t="shared" si="59"/>
        <v>633.98980712890625</v>
      </c>
      <c r="BA96" s="270"/>
      <c r="BB96" s="445"/>
      <c r="BC96" s="445"/>
      <c r="BD96" s="445"/>
      <c r="BE96" s="270"/>
      <c r="BF96" s="317">
        <f>(AY96-AZ96)/AZ96</f>
        <v>0.630388987925531</v>
      </c>
      <c r="BG96" s="314" t="s">
        <v>251</v>
      </c>
      <c r="BH96" s="315">
        <f>SUM(BH90:BH95)</f>
        <v>311.52</v>
      </c>
      <c r="BI96" s="315">
        <f>SUM(BI90:BI95)</f>
        <v>695.85391235351562</v>
      </c>
      <c r="BJ96" s="280"/>
      <c r="BK96" s="314" t="s">
        <v>251</v>
      </c>
      <c r="BL96" s="315">
        <f>SUM(BL90:BL95)</f>
        <v>278.99</v>
      </c>
      <c r="BM96" s="315">
        <f>SUM(BM90:BM95)</f>
        <v>670.20759153366089</v>
      </c>
      <c r="BN96" s="281"/>
      <c r="BO96" s="314" t="s">
        <v>251</v>
      </c>
      <c r="BP96" s="315">
        <f>SUM(BP90:BP95)</f>
        <v>228.64000000000001</v>
      </c>
      <c r="BQ96" s="315">
        <f>SUM(BQ90:BQ95)</f>
        <v>557.75998115539551</v>
      </c>
      <c r="BR96" s="280"/>
      <c r="BS96" s="320" t="s">
        <v>251</v>
      </c>
      <c r="BT96" s="315">
        <f t="shared" ref="BT96" si="129">SUM(BH96,BL96,BP96)</f>
        <v>819.15</v>
      </c>
      <c r="BU96" s="315">
        <f t="shared" si="127"/>
        <v>1923.821485042572</v>
      </c>
      <c r="BV96" s="449" t="s">
        <v>70</v>
      </c>
      <c r="BW96" s="448" t="s">
        <v>204</v>
      </c>
      <c r="BX96" s="448" t="s">
        <v>69</v>
      </c>
      <c r="CA96" s="281"/>
      <c r="CB96" s="281"/>
      <c r="CC96" s="280"/>
      <c r="CD96" s="280"/>
      <c r="CE96" s="280"/>
      <c r="CF96" s="280" t="str">
        <f t="shared" si="111"/>
        <v/>
      </c>
      <c r="CG96" s="281"/>
      <c r="CH96" s="280"/>
      <c r="CI96" s="280"/>
      <c r="CJ96" s="284" t="str">
        <f t="shared" si="112"/>
        <v/>
      </c>
      <c r="CK96" s="280"/>
      <c r="CL96" s="280"/>
      <c r="CM96" s="280"/>
      <c r="CN96" s="284" t="str">
        <f t="shared" si="113"/>
        <v/>
      </c>
    </row>
    <row r="97" spans="1:92" ht="15" customHeight="1" x14ac:dyDescent="0.25">
      <c r="A97" s="246"/>
      <c r="B97" s="246"/>
      <c r="C97" s="246"/>
      <c r="D97" s="246"/>
      <c r="E97" s="246"/>
      <c r="F97" s="246"/>
      <c r="G97" s="246"/>
      <c r="H97" s="246"/>
      <c r="I97" s="246"/>
      <c r="J97" s="246"/>
      <c r="K97" s="246"/>
      <c r="L97" s="246"/>
      <c r="M97" s="246"/>
      <c r="N97" s="246"/>
      <c r="R97" s="272"/>
      <c r="S97" s="290"/>
      <c r="T97" s="291" t="str">
        <f t="shared" si="87"/>
        <v/>
      </c>
      <c r="U97" s="270"/>
      <c r="V97" s="272"/>
      <c r="W97" s="290"/>
      <c r="X97" s="291" t="str">
        <f t="shared" si="103"/>
        <v/>
      </c>
      <c r="Y97" s="270"/>
      <c r="Z97" s="272"/>
      <c r="AA97" s="290"/>
      <c r="AB97" s="291" t="str">
        <f t="shared" si="104"/>
        <v/>
      </c>
      <c r="AC97" s="270"/>
      <c r="AD97" s="272"/>
      <c r="AE97" s="290"/>
      <c r="AF97" s="291"/>
      <c r="AG97" s="271"/>
      <c r="AH97" s="447"/>
      <c r="AI97" s="447"/>
      <c r="AJ97" s="447"/>
      <c r="AK97" s="271"/>
      <c r="AL97" s="272"/>
      <c r="AM97" s="273"/>
      <c r="AN97" s="273" t="str">
        <f t="shared" si="71"/>
        <v/>
      </c>
      <c r="AO97" s="274"/>
      <c r="AP97" s="275"/>
      <c r="AQ97" s="273"/>
      <c r="AR97" s="273" t="str">
        <f t="shared" si="74"/>
        <v/>
      </c>
      <c r="AS97" s="276"/>
      <c r="AT97" s="275"/>
      <c r="AU97" s="273"/>
      <c r="AV97" s="273" t="str">
        <f t="shared" si="77"/>
        <v/>
      </c>
      <c r="AW97" s="306"/>
      <c r="AX97" s="275"/>
      <c r="AY97" s="273"/>
      <c r="AZ97" s="273"/>
      <c r="BA97" s="270"/>
      <c r="BB97" s="445"/>
      <c r="BC97" s="445"/>
      <c r="BD97" s="445"/>
      <c r="BE97" s="270"/>
      <c r="BF97" s="317"/>
      <c r="BG97" s="272"/>
      <c r="BH97" s="290"/>
      <c r="BI97" s="291" t="str">
        <f t="shared" si="105"/>
        <v/>
      </c>
      <c r="BJ97" s="280"/>
      <c r="BK97" s="272"/>
      <c r="BL97" s="290"/>
      <c r="BM97" s="290" t="str">
        <f t="shared" si="92"/>
        <v/>
      </c>
      <c r="BN97" s="281"/>
      <c r="BO97" s="292"/>
      <c r="BP97" s="290"/>
      <c r="BQ97" s="291"/>
      <c r="BR97" s="280"/>
      <c r="BS97" s="293"/>
      <c r="BT97" s="290"/>
      <c r="BU97" s="291"/>
      <c r="BV97" s="449"/>
      <c r="BW97" s="448"/>
      <c r="BX97" s="448"/>
      <c r="CA97" s="281"/>
      <c r="CB97" s="281"/>
      <c r="CC97" s="280"/>
      <c r="CD97" s="280"/>
      <c r="CE97" s="280"/>
      <c r="CF97" s="280" t="str">
        <f t="shared" si="111"/>
        <v/>
      </c>
      <c r="CG97" s="281"/>
      <c r="CH97" s="280"/>
      <c r="CI97" s="280"/>
      <c r="CJ97" s="284" t="str">
        <f t="shared" si="112"/>
        <v/>
      </c>
      <c r="CK97" s="280"/>
      <c r="CL97" s="280"/>
      <c r="CM97" s="280"/>
      <c r="CN97" s="284" t="str">
        <f t="shared" si="113"/>
        <v/>
      </c>
    </row>
    <row r="98" spans="1:92" ht="15" customHeight="1" x14ac:dyDescent="0.25">
      <c r="A98" s="336" t="s">
        <v>230</v>
      </c>
      <c r="B98" s="337">
        <v>42522</v>
      </c>
      <c r="C98" s="338">
        <v>42552</v>
      </c>
      <c r="D98" s="338">
        <v>42583</v>
      </c>
      <c r="E98" s="338">
        <v>42614</v>
      </c>
      <c r="F98" s="338">
        <v>42644</v>
      </c>
      <c r="G98" s="338">
        <v>42675</v>
      </c>
      <c r="H98" s="338">
        <v>42705</v>
      </c>
      <c r="I98" s="338">
        <v>42736</v>
      </c>
      <c r="J98" s="338">
        <v>42767</v>
      </c>
      <c r="K98" s="338">
        <v>42795</v>
      </c>
      <c r="L98" s="338">
        <v>42826</v>
      </c>
      <c r="M98" s="339">
        <v>42856</v>
      </c>
      <c r="N98" s="259" t="str">
        <f>N89</f>
        <v>Total</v>
      </c>
      <c r="R98" s="272" t="str">
        <f t="shared" si="63"/>
        <v>Nomination Group Production</v>
      </c>
      <c r="S98" s="290"/>
      <c r="T98" s="323">
        <f t="shared" si="87"/>
        <v>42522</v>
      </c>
      <c r="U98" s="270"/>
      <c r="V98" s="272" t="str">
        <f t="shared" si="64"/>
        <v>Nomination Group Production</v>
      </c>
      <c r="W98" s="290"/>
      <c r="X98" s="323">
        <v>42552</v>
      </c>
      <c r="Y98" s="270"/>
      <c r="Z98" s="272" t="str">
        <f t="shared" si="66"/>
        <v>Nomination Group Production</v>
      </c>
      <c r="AA98" s="290"/>
      <c r="AB98" s="323">
        <f t="shared" si="104"/>
        <v>42583</v>
      </c>
      <c r="AC98" s="270"/>
      <c r="AD98" s="272" t="s">
        <v>255</v>
      </c>
      <c r="AE98" s="290"/>
      <c r="AF98" s="323"/>
      <c r="AG98" s="271"/>
      <c r="AH98" s="447"/>
      <c r="AI98" s="447"/>
      <c r="AJ98" s="447"/>
      <c r="AK98" s="271"/>
      <c r="AL98" s="314" t="str">
        <f t="shared" si="69"/>
        <v>Wexpro II</v>
      </c>
      <c r="AM98" s="316"/>
      <c r="AN98" s="316"/>
      <c r="AO98" s="274"/>
      <c r="AP98" s="316" t="str">
        <f t="shared" si="72"/>
        <v>Wexpro II</v>
      </c>
      <c r="AQ98" s="316"/>
      <c r="AR98" s="316"/>
      <c r="AS98" s="276"/>
      <c r="AT98" s="316" t="str">
        <f t="shared" si="75"/>
        <v>Wexpro II</v>
      </c>
      <c r="AU98" s="316"/>
      <c r="AV98" s="316"/>
      <c r="AW98" s="306"/>
      <c r="AX98" s="316" t="str">
        <f t="shared" si="78"/>
        <v>Wexpro II</v>
      </c>
      <c r="AY98" s="316"/>
      <c r="AZ98" s="316"/>
      <c r="BA98" s="270"/>
      <c r="BB98" s="445"/>
      <c r="BC98" s="445"/>
      <c r="BD98" s="445"/>
      <c r="BE98" s="270"/>
      <c r="BF98" s="317"/>
      <c r="BG98" s="314" t="s">
        <v>255</v>
      </c>
      <c r="BH98" s="315"/>
      <c r="BI98" s="315" t="str">
        <f t="shared" si="105"/>
        <v/>
      </c>
      <c r="BJ98" s="280"/>
      <c r="BK98" s="314" t="str">
        <f>BG98</f>
        <v>Wexpro II</v>
      </c>
      <c r="BL98" s="315">
        <f>SUM(BL6:BL95)</f>
        <v>8580.4900000000016</v>
      </c>
      <c r="BM98" s="315" t="str">
        <f t="shared" si="92"/>
        <v/>
      </c>
      <c r="BN98" s="281"/>
      <c r="BO98" s="314" t="str">
        <f>BK98</f>
        <v>Wexpro II</v>
      </c>
      <c r="BP98" s="315">
        <f>SUM(BP6:BP95)</f>
        <v>7874.9599999999964</v>
      </c>
      <c r="BQ98" s="315">
        <f>IFERROR(VLOOKUP($BO98,$A$6:$M$105,10,FALSE),0)</f>
        <v>0</v>
      </c>
      <c r="BR98" s="280"/>
      <c r="BS98" s="314" t="str">
        <f>BO98</f>
        <v>Wexpro II</v>
      </c>
      <c r="BT98" s="315">
        <f t="shared" si="110"/>
        <v>16455.449999999997</v>
      </c>
      <c r="BU98" s="315">
        <f t="shared" si="127"/>
        <v>0</v>
      </c>
      <c r="BV98" s="449"/>
      <c r="BW98" s="448"/>
      <c r="BX98" s="448"/>
      <c r="CA98" s="281"/>
      <c r="CB98" s="281"/>
      <c r="CC98" s="280"/>
      <c r="CD98" s="280" t="str">
        <f t="shared" si="99"/>
        <v>Nomination Group Production</v>
      </c>
      <c r="CE98" s="280">
        <v>90.7</v>
      </c>
      <c r="CF98" s="280">
        <f t="shared" si="111"/>
        <v>42795</v>
      </c>
      <c r="CG98" s="281"/>
      <c r="CH98" s="280" t="str">
        <f t="shared" si="100"/>
        <v>Nomination Group Production</v>
      </c>
      <c r="CI98" s="280">
        <v>90.7</v>
      </c>
      <c r="CJ98" s="284">
        <f t="shared" si="112"/>
        <v>42826</v>
      </c>
      <c r="CK98" s="280"/>
      <c r="CL98" s="280" t="str">
        <f t="shared" si="101"/>
        <v>Nomination Group Production</v>
      </c>
      <c r="CM98" s="280">
        <v>90.7</v>
      </c>
      <c r="CN98" s="284">
        <f t="shared" si="113"/>
        <v>42856</v>
      </c>
    </row>
    <row r="99" spans="1:92" ht="15" customHeight="1" x14ac:dyDescent="0.25">
      <c r="A99" s="324" t="s">
        <v>226</v>
      </c>
      <c r="B99" s="261">
        <v>372.77700805664062</v>
      </c>
      <c r="C99" s="262">
        <v>379.27569580078125</v>
      </c>
      <c r="D99" s="262">
        <v>373.56549072265625</v>
      </c>
      <c r="E99" s="262">
        <v>356.21099853515625</v>
      </c>
      <c r="F99" s="262">
        <v>362.7991943359375</v>
      </c>
      <c r="G99" s="262">
        <v>346.16400146484375</v>
      </c>
      <c r="H99" s="262">
        <v>352.7738037109375</v>
      </c>
      <c r="I99" s="262">
        <v>348.01220703125</v>
      </c>
      <c r="J99" s="262">
        <v>310.17559814453125</v>
      </c>
      <c r="K99" s="262">
        <v>338.9447021484375</v>
      </c>
      <c r="L99" s="262">
        <v>323.83200073242187</v>
      </c>
      <c r="M99" s="263">
        <v>330.43209838867188</v>
      </c>
      <c r="N99" s="254">
        <f>SUM(B99:M99)</f>
        <v>4194.9627990722656</v>
      </c>
      <c r="R99" s="272" t="str">
        <f t="shared" si="63"/>
        <v>CCRUNIT 2E</v>
      </c>
      <c r="S99" s="290">
        <f>VLOOKUP(R99,$R$118:$S$208,2,FALSE)</f>
        <v>413.7</v>
      </c>
      <c r="T99" s="291">
        <f t="shared" si="87"/>
        <v>372.77700805664062</v>
      </c>
      <c r="U99" s="270"/>
      <c r="V99" s="272" t="str">
        <f t="shared" si="64"/>
        <v>CCRUNIT 2E</v>
      </c>
      <c r="W99" s="290">
        <f t="shared" si="88"/>
        <v>430.79</v>
      </c>
      <c r="X99" s="291">
        <f t="shared" si="103"/>
        <v>379.27569580078125</v>
      </c>
      <c r="Y99" s="270"/>
      <c r="Z99" s="272" t="str">
        <f t="shared" ref="Z99:Z105" si="130">R99</f>
        <v>CCRUNIT 2E</v>
      </c>
      <c r="AA99" s="290">
        <f t="shared" si="89"/>
        <v>423.15</v>
      </c>
      <c r="AB99" s="291">
        <f t="shared" si="104"/>
        <v>373.56549072265625</v>
      </c>
      <c r="AC99" s="270"/>
      <c r="AD99" s="272" t="str">
        <f t="shared" si="68"/>
        <v>CCRUNIT 2E</v>
      </c>
      <c r="AE99" s="290">
        <f t="shared" ref="AE99" si="131">SUM(S99,W99,AA99)</f>
        <v>1267.6399999999999</v>
      </c>
      <c r="AF99" s="291">
        <f t="shared" ref="AF99" si="132">SUM(T99,X99,AB99)</f>
        <v>1125.6181945800781</v>
      </c>
      <c r="AG99" s="271"/>
      <c r="AH99" s="447"/>
      <c r="AI99" s="447"/>
      <c r="AJ99" s="447"/>
      <c r="AK99" s="271"/>
      <c r="AL99" s="272" t="str">
        <f t="shared" si="69"/>
        <v>CCRUNIT 2E</v>
      </c>
      <c r="AM99" s="273">
        <f t="shared" si="97"/>
        <v>400.81</v>
      </c>
      <c r="AN99" s="273">
        <f t="shared" si="71"/>
        <v>356.21099853515625</v>
      </c>
      <c r="AO99" s="274"/>
      <c r="AP99" s="275" t="str">
        <f t="shared" si="72"/>
        <v>CCRUNIT 2E</v>
      </c>
      <c r="AQ99" s="340">
        <f t="shared" ref="AQ99:AQ102" si="133">IFERROR(VLOOKUP(AP99,$AP$118:$AQ$203,2,FALSE),0)</f>
        <v>417.3</v>
      </c>
      <c r="AR99" s="273">
        <f t="shared" si="74"/>
        <v>362.7991943359375</v>
      </c>
      <c r="AS99" s="276"/>
      <c r="AT99" s="275" t="str">
        <f t="shared" si="75"/>
        <v>CCRUNIT 2E</v>
      </c>
      <c r="AU99" s="340">
        <f t="shared" ref="AU99:AU102" si="134">IFERROR(VLOOKUP(AT99,$AT$118:$AU$203,2,FALSE),0)</f>
        <v>517.99</v>
      </c>
      <c r="AV99" s="273">
        <f t="shared" si="77"/>
        <v>346.16400146484375</v>
      </c>
      <c r="AW99" s="341"/>
      <c r="AX99" s="275" t="str">
        <f t="shared" si="78"/>
        <v>CCRUNIT 2E</v>
      </c>
      <c r="AY99" s="273">
        <f t="shared" si="58"/>
        <v>1336.1</v>
      </c>
      <c r="AZ99" s="273">
        <f t="shared" si="59"/>
        <v>1065.1741943359375</v>
      </c>
      <c r="BA99" s="342"/>
      <c r="BB99" s="445"/>
      <c r="BC99" s="445"/>
      <c r="BD99" s="445"/>
      <c r="BE99" s="342"/>
      <c r="BF99" s="317"/>
      <c r="BG99" s="272" t="str">
        <f t="shared" si="119"/>
        <v>CCRUNIT 2E</v>
      </c>
      <c r="BH99" s="290">
        <f>IFERROR(VLOOKUP($BG99,$BG$111:$BH$193,2,FALSE),0)</f>
        <v>635.71</v>
      </c>
      <c r="BI99" s="291">
        <f t="shared" si="105"/>
        <v>352.7738037109375</v>
      </c>
      <c r="BJ99" s="280"/>
      <c r="BK99" s="272" t="str">
        <f t="shared" si="81"/>
        <v>CCRUNIT 2E</v>
      </c>
      <c r="BL99" s="290">
        <f>IFERROR(VLOOKUP($BK99,$BK$111:$BL$195,2,FALSE),0)</f>
        <v>613.37</v>
      </c>
      <c r="BM99" s="290">
        <f t="shared" si="92"/>
        <v>348.01220703125</v>
      </c>
      <c r="BN99" s="281"/>
      <c r="BO99" s="292" t="str">
        <f t="shared" si="93"/>
        <v>CCRUNIT 2E</v>
      </c>
      <c r="BP99" s="290">
        <f>IFERROR(VLOOKUP($BO99,$BO$111:$BP$196,2,FALSE),0)</f>
        <v>565.25</v>
      </c>
      <c r="BQ99" s="291">
        <f>IFERROR(VLOOKUP($BO99,$A$6:$M$105,10,FALSE),0)</f>
        <v>310.17559814453125</v>
      </c>
      <c r="BR99" s="280"/>
      <c r="BS99" s="293" t="str">
        <f t="shared" si="95"/>
        <v>CCRUNIT 2E</v>
      </c>
      <c r="BT99" s="268">
        <f>SUM(BH99,BL99,BP99)</f>
        <v>1814.33</v>
      </c>
      <c r="BU99" s="269">
        <f t="shared" ref="BU99" si="135">SUM(BI99,BM99,BQ99)</f>
        <v>1010.9616088867187</v>
      </c>
      <c r="BV99" s="449"/>
      <c r="BW99" s="448"/>
      <c r="BX99" s="448"/>
      <c r="CA99" s="281"/>
      <c r="CB99" s="281"/>
      <c r="CC99" s="280"/>
      <c r="CD99" s="280" t="str">
        <f t="shared" si="99"/>
        <v>CCRUNIT 2E</v>
      </c>
      <c r="CE99" s="280">
        <v>91.7</v>
      </c>
      <c r="CF99" s="280">
        <f t="shared" si="111"/>
        <v>338.9447021484375</v>
      </c>
      <c r="CG99" s="280"/>
      <c r="CH99" s="280" t="str">
        <f t="shared" si="100"/>
        <v>CCRUNIT 2E</v>
      </c>
      <c r="CI99" s="280">
        <v>91.7</v>
      </c>
      <c r="CJ99" s="284">
        <f t="shared" si="112"/>
        <v>323.83200073242187</v>
      </c>
      <c r="CK99" s="280"/>
      <c r="CL99" s="280" t="str">
        <f t="shared" si="101"/>
        <v>CCRUNIT 2E</v>
      </c>
      <c r="CM99" s="280">
        <v>91.7</v>
      </c>
      <c r="CN99" s="284">
        <f t="shared" si="113"/>
        <v>330.43209838867188</v>
      </c>
    </row>
    <row r="100" spans="1:92" ht="15" customHeight="1" x14ac:dyDescent="0.25">
      <c r="A100" s="328" t="s">
        <v>257</v>
      </c>
      <c r="B100" s="329">
        <v>33.360000610351563</v>
      </c>
      <c r="C100" s="330">
        <v>34.096900939941406</v>
      </c>
      <c r="D100" s="330">
        <v>33.731098175048828</v>
      </c>
      <c r="E100" s="330">
        <v>32.298000335693359</v>
      </c>
      <c r="F100" s="330">
        <v>33.030498504638672</v>
      </c>
      <c r="G100" s="330">
        <v>31.63800048828125</v>
      </c>
      <c r="H100" s="330">
        <v>32.363998413085937</v>
      </c>
      <c r="I100" s="330">
        <v>32.047798156738281</v>
      </c>
      <c r="J100" s="330">
        <v>28.663600921630859</v>
      </c>
      <c r="K100" s="330">
        <v>31.434000015258789</v>
      </c>
      <c r="L100" s="330">
        <v>30.135000228881836</v>
      </c>
      <c r="M100" s="289">
        <v>30.848100662231445</v>
      </c>
      <c r="N100" s="343">
        <f t="shared" ref="N100:N102" si="136">SUM(B100:M100)</f>
        <v>383.64699745178223</v>
      </c>
      <c r="O100" s="304"/>
      <c r="R100" s="272" t="str">
        <f t="shared" si="63"/>
        <v>CCRUNIT MT 2E</v>
      </c>
      <c r="S100" s="290">
        <f>VLOOKUP(R100,$R$118:$S$208,2,FALSE)</f>
        <v>35.28</v>
      </c>
      <c r="T100" s="291">
        <f t="shared" si="87"/>
        <v>33.360000610351563</v>
      </c>
      <c r="U100" s="270"/>
      <c r="V100" s="272" t="str">
        <f t="shared" si="64"/>
        <v>CCRUNIT MT 2E</v>
      </c>
      <c r="W100" s="290">
        <f t="shared" si="88"/>
        <v>34.700000000000003</v>
      </c>
      <c r="X100" s="291">
        <f t="shared" si="103"/>
        <v>34.096900939941406</v>
      </c>
      <c r="Y100" s="270"/>
      <c r="Z100" s="272" t="str">
        <f t="shared" si="130"/>
        <v>CCRUNIT MT 2E</v>
      </c>
      <c r="AA100" s="290">
        <f t="shared" si="89"/>
        <v>34.9</v>
      </c>
      <c r="AB100" s="291">
        <f t="shared" si="104"/>
        <v>33.731098175048828</v>
      </c>
      <c r="AC100" s="270"/>
      <c r="AD100" s="272" t="str">
        <f t="shared" si="68"/>
        <v>CCRUNIT MT 2E</v>
      </c>
      <c r="AE100" s="290">
        <f t="shared" ref="AE100:AE102" si="137">SUM(S100,W100,AA100)</f>
        <v>104.88</v>
      </c>
      <c r="AF100" s="291">
        <f t="shared" ref="AF100:AF102" si="138">SUM(T100,X100,AB100)</f>
        <v>101.1879997253418</v>
      </c>
      <c r="AG100" s="271"/>
      <c r="AH100" s="447"/>
      <c r="AI100" s="447"/>
      <c r="AJ100" s="447"/>
      <c r="AK100" s="271"/>
      <c r="AL100" s="272" t="str">
        <f t="shared" si="69"/>
        <v>CCRUNIT MT 2E</v>
      </c>
      <c r="AM100" s="273">
        <f t="shared" si="97"/>
        <v>34.950000000000003</v>
      </c>
      <c r="AN100" s="273">
        <f t="shared" si="71"/>
        <v>32.298000335693359</v>
      </c>
      <c r="AO100" s="274"/>
      <c r="AP100" s="275" t="str">
        <f t="shared" si="72"/>
        <v>CCRUNIT MT 2E</v>
      </c>
      <c r="AQ100" s="340">
        <f t="shared" si="133"/>
        <v>36</v>
      </c>
      <c r="AR100" s="273">
        <f t="shared" si="74"/>
        <v>33.030498504638672</v>
      </c>
      <c r="AS100" s="276"/>
      <c r="AT100" s="275" t="str">
        <f t="shared" si="75"/>
        <v>CCRUNIT MT 2E</v>
      </c>
      <c r="AU100" s="340">
        <f t="shared" si="134"/>
        <v>35.14</v>
      </c>
      <c r="AV100" s="273">
        <f t="shared" si="77"/>
        <v>31.63800048828125</v>
      </c>
      <c r="AW100" s="277"/>
      <c r="AX100" s="275" t="str">
        <f t="shared" si="78"/>
        <v>CCRUNIT MT 2E</v>
      </c>
      <c r="AY100" s="273">
        <f t="shared" si="58"/>
        <v>106.09</v>
      </c>
      <c r="AZ100" s="273">
        <f t="shared" si="59"/>
        <v>96.966499328613281</v>
      </c>
      <c r="BA100" s="270"/>
      <c r="BB100" s="445"/>
      <c r="BC100" s="445"/>
      <c r="BD100" s="445"/>
      <c r="BE100" s="270"/>
      <c r="BF100" s="317"/>
      <c r="BG100" s="272" t="str">
        <f t="shared" si="119"/>
        <v>CCRUNIT MT 2E</v>
      </c>
      <c r="BH100" s="290">
        <f>IFERROR(VLOOKUP($BG100,$BG$111:$BH$197,2,FALSE),0)</f>
        <v>32.479999999999997</v>
      </c>
      <c r="BI100" s="291">
        <f t="shared" si="105"/>
        <v>32.363998413085937</v>
      </c>
      <c r="BJ100" s="280"/>
      <c r="BK100" s="272" t="str">
        <f t="shared" si="81"/>
        <v>CCRUNIT MT 2E</v>
      </c>
      <c r="BL100" s="290">
        <f t="shared" ref="BL100:BL102" si="139">IFERROR(VLOOKUP($BK100,$BK$111:$BL$195,2,FALSE),0)</f>
        <v>31.75</v>
      </c>
      <c r="BM100" s="290">
        <f t="shared" si="92"/>
        <v>32.047798156738281</v>
      </c>
      <c r="BN100" s="281"/>
      <c r="BO100" s="292" t="str">
        <f t="shared" si="93"/>
        <v>CCRUNIT MT 2E</v>
      </c>
      <c r="BP100" s="290">
        <f>IFERROR(VLOOKUP($BO100,$BO$111:$BP$196,2,FALSE),0)</f>
        <v>29.36</v>
      </c>
      <c r="BQ100" s="291">
        <f>IFERROR(VLOOKUP($BO100,$A$6:$M$105,10,FALSE),0)</f>
        <v>28.663600921630859</v>
      </c>
      <c r="BR100" s="280"/>
      <c r="BS100" s="293" t="str">
        <f t="shared" si="95"/>
        <v>CCRUNIT MT 2E</v>
      </c>
      <c r="BT100" s="290">
        <f t="shared" ref="BT100:BT102" si="140">SUM(BH100,BL100,BP100)</f>
        <v>93.589999999999989</v>
      </c>
      <c r="BU100" s="291">
        <f t="shared" ref="BU100:BU102" si="141">SUM(BI100,BM100,BQ100)</f>
        <v>93.075397491455078</v>
      </c>
      <c r="BV100" s="449"/>
      <c r="BW100" s="448"/>
      <c r="BX100" s="448"/>
      <c r="CA100" s="281"/>
      <c r="CB100" s="281"/>
      <c r="CC100" s="280"/>
      <c r="CD100" s="280" t="str">
        <f t="shared" si="99"/>
        <v>CCRUNIT MT 2E</v>
      </c>
      <c r="CE100" s="280">
        <v>92.7</v>
      </c>
      <c r="CF100" s="280">
        <f t="shared" si="111"/>
        <v>31.434000015258789</v>
      </c>
      <c r="CG100" s="280"/>
      <c r="CH100" s="280" t="str">
        <f t="shared" si="100"/>
        <v>CCRUNIT MT 2E</v>
      </c>
      <c r="CI100" s="280">
        <v>92.7</v>
      </c>
      <c r="CJ100" s="284">
        <f t="shared" si="112"/>
        <v>30.135000228881836</v>
      </c>
      <c r="CK100" s="280"/>
      <c r="CL100" s="280" t="str">
        <f t="shared" si="101"/>
        <v>CCRUNIT MT 2E</v>
      </c>
      <c r="CM100" s="280">
        <v>92.7</v>
      </c>
      <c r="CN100" s="284">
        <f t="shared" si="113"/>
        <v>30.848100662231445</v>
      </c>
    </row>
    <row r="101" spans="1:92" ht="15" customHeight="1" x14ac:dyDescent="0.25">
      <c r="A101" s="328" t="s">
        <v>184</v>
      </c>
      <c r="B101" s="329">
        <v>272.2650146484375</v>
      </c>
      <c r="C101" s="330">
        <v>275.65509033203125</v>
      </c>
      <c r="D101" s="330">
        <v>270.46258544921875</v>
      </c>
      <c r="E101" s="330">
        <v>257.10299682617187</v>
      </c>
      <c r="F101" s="330">
        <v>261.21841430664062</v>
      </c>
      <c r="G101" s="330">
        <v>248.77499389648437</v>
      </c>
      <c r="H101" s="330">
        <v>253.1614990234375</v>
      </c>
      <c r="I101" s="330">
        <v>249.48800659179687</v>
      </c>
      <c r="J101" s="330">
        <v>222.19960021972656</v>
      </c>
      <c r="K101" s="330">
        <v>242.7052001953125</v>
      </c>
      <c r="L101" s="330">
        <v>231.8280029296875</v>
      </c>
      <c r="M101" s="289">
        <v>236.55169677734375</v>
      </c>
      <c r="N101" s="343">
        <f t="shared" si="136"/>
        <v>3021.4131011962891</v>
      </c>
      <c r="O101" s="304"/>
      <c r="R101" s="272" t="str">
        <f t="shared" si="63"/>
        <v>TRAIL 2E</v>
      </c>
      <c r="S101" s="290">
        <f>VLOOKUP(R101,$R$118:$S$208,2,FALSE)</f>
        <v>323.66000000000003</v>
      </c>
      <c r="T101" s="291">
        <f t="shared" si="87"/>
        <v>272.2650146484375</v>
      </c>
      <c r="U101" s="270"/>
      <c r="V101" s="272" t="str">
        <f t="shared" si="64"/>
        <v>TRAIL 2E</v>
      </c>
      <c r="W101" s="290">
        <f t="shared" si="88"/>
        <v>329.72</v>
      </c>
      <c r="X101" s="291">
        <f t="shared" si="103"/>
        <v>275.65509033203125</v>
      </c>
      <c r="Y101" s="270"/>
      <c r="Z101" s="272" t="str">
        <f t="shared" si="130"/>
        <v>TRAIL 2E</v>
      </c>
      <c r="AA101" s="290">
        <f>VLOOKUP(Z101,$Z$118:$AA$209,2,FALSE)</f>
        <v>369.25</v>
      </c>
      <c r="AB101" s="291">
        <f t="shared" si="104"/>
        <v>270.46258544921875</v>
      </c>
      <c r="AC101" s="270"/>
      <c r="AD101" s="272" t="str">
        <f t="shared" si="68"/>
        <v>TRAIL 2E</v>
      </c>
      <c r="AE101" s="290">
        <f t="shared" si="137"/>
        <v>1022.6300000000001</v>
      </c>
      <c r="AF101" s="291">
        <f t="shared" si="138"/>
        <v>818.3826904296875</v>
      </c>
      <c r="AG101" s="271"/>
      <c r="AH101" s="299"/>
      <c r="AI101" s="299"/>
      <c r="AJ101" s="299"/>
      <c r="AK101" s="271"/>
      <c r="AL101" s="272" t="str">
        <f t="shared" si="69"/>
        <v>TRAIL 2E</v>
      </c>
      <c r="AM101" s="273">
        <f t="shared" si="97"/>
        <v>301.12</v>
      </c>
      <c r="AN101" s="273">
        <f t="shared" si="71"/>
        <v>257.10299682617187</v>
      </c>
      <c r="AO101" s="274"/>
      <c r="AP101" s="275" t="str">
        <f t="shared" si="72"/>
        <v>TRAIL 2E</v>
      </c>
      <c r="AQ101" s="340">
        <f t="shared" si="133"/>
        <v>288.33999999999997</v>
      </c>
      <c r="AR101" s="273">
        <f t="shared" si="74"/>
        <v>261.21841430664062</v>
      </c>
      <c r="AS101" s="276"/>
      <c r="AT101" s="275" t="str">
        <f t="shared" si="75"/>
        <v>TRAIL 2E</v>
      </c>
      <c r="AU101" s="340">
        <f t="shared" si="134"/>
        <v>287.26</v>
      </c>
      <c r="AV101" s="273">
        <f t="shared" si="77"/>
        <v>248.77499389648437</v>
      </c>
      <c r="AW101" s="277"/>
      <c r="AX101" s="275" t="str">
        <f t="shared" si="78"/>
        <v>TRAIL 2E</v>
      </c>
      <c r="AY101" s="273">
        <f t="shared" si="58"/>
        <v>876.72</v>
      </c>
      <c r="AZ101" s="273">
        <f t="shared" si="59"/>
        <v>767.09640502929688</v>
      </c>
      <c r="BA101" s="270"/>
      <c r="BB101" s="344"/>
      <c r="BC101" s="344"/>
      <c r="BD101" s="344"/>
      <c r="BE101" s="270"/>
      <c r="BF101" s="317"/>
      <c r="BG101" s="272" t="str">
        <f t="shared" si="119"/>
        <v>TRAIL 2E</v>
      </c>
      <c r="BH101" s="290">
        <f t="shared" ref="BH101:BH102" si="142">IFERROR(VLOOKUP($BG101,$BG$111:$BH$197,2,FALSE),0)</f>
        <v>287.85000000000002</v>
      </c>
      <c r="BI101" s="291">
        <f t="shared" si="105"/>
        <v>253.1614990234375</v>
      </c>
      <c r="BJ101" s="280"/>
      <c r="BK101" s="272" t="str">
        <f t="shared" si="81"/>
        <v>TRAIL 2E</v>
      </c>
      <c r="BL101" s="290">
        <f t="shared" si="139"/>
        <v>282.75</v>
      </c>
      <c r="BM101" s="290">
        <f t="shared" si="92"/>
        <v>249.48800659179687</v>
      </c>
      <c r="BN101" s="281"/>
      <c r="BO101" s="292" t="str">
        <f t="shared" si="93"/>
        <v>TRAIL 2E</v>
      </c>
      <c r="BP101" s="290">
        <f t="shared" ref="BP101:BP102" si="143">IFERROR(VLOOKUP($BO101,$BO$111:$BP$196,2,FALSE),0)</f>
        <v>245.87</v>
      </c>
      <c r="BQ101" s="291">
        <f t="shared" ref="BQ101:BQ102" si="144">IFERROR(VLOOKUP($BO101,$A$6:$M$105,10,FALSE),0)</f>
        <v>222.19960021972656</v>
      </c>
      <c r="BR101" s="280"/>
      <c r="BS101" s="293" t="str">
        <f t="shared" si="95"/>
        <v>TRAIL 2E</v>
      </c>
      <c r="BT101" s="290">
        <f t="shared" si="140"/>
        <v>816.47</v>
      </c>
      <c r="BU101" s="291">
        <f t="shared" si="141"/>
        <v>724.84910583496094</v>
      </c>
      <c r="BV101" s="449"/>
      <c r="BW101" s="448"/>
      <c r="BX101" s="448"/>
      <c r="CA101" s="281"/>
      <c r="CB101" s="281"/>
      <c r="CC101" s="280"/>
      <c r="CD101" s="280" t="str">
        <f t="shared" si="99"/>
        <v>TRAIL 2E</v>
      </c>
      <c r="CE101" s="280"/>
      <c r="CF101" s="280">
        <f t="shared" si="111"/>
        <v>242.7052001953125</v>
      </c>
      <c r="CG101" s="280"/>
      <c r="CH101" s="280" t="str">
        <f t="shared" si="100"/>
        <v>TRAIL 2E</v>
      </c>
      <c r="CI101" s="280"/>
      <c r="CJ101" s="284">
        <f t="shared" si="112"/>
        <v>231.8280029296875</v>
      </c>
      <c r="CK101" s="280"/>
      <c r="CL101" s="280" t="str">
        <f t="shared" si="101"/>
        <v>TRAIL 2E</v>
      </c>
      <c r="CM101" s="280"/>
      <c r="CN101" s="284">
        <f t="shared" si="113"/>
        <v>236.55169677734375</v>
      </c>
    </row>
    <row r="102" spans="1:92" ht="15" customHeight="1" x14ac:dyDescent="0.25">
      <c r="A102" s="331" t="s">
        <v>238</v>
      </c>
      <c r="B102" s="332">
        <v>56.457000732421875</v>
      </c>
      <c r="C102" s="333">
        <v>57.111301422119141</v>
      </c>
      <c r="D102" s="333">
        <v>55.961200714111328</v>
      </c>
      <c r="E102" s="333">
        <v>53.109001159667969</v>
      </c>
      <c r="F102" s="333">
        <v>53.859401702880859</v>
      </c>
      <c r="G102" s="333">
        <v>51.188999176025391</v>
      </c>
      <c r="H102" s="333">
        <v>51.980800628662109</v>
      </c>
      <c r="I102" s="333">
        <v>51.115898132324219</v>
      </c>
      <c r="J102" s="333">
        <v>45.421600341796875</v>
      </c>
      <c r="K102" s="333">
        <v>49.506999969482422</v>
      </c>
      <c r="L102" s="333">
        <v>47.180999755859375</v>
      </c>
      <c r="M102" s="334">
        <v>48.040699005126953</v>
      </c>
      <c r="N102" s="345">
        <f t="shared" si="136"/>
        <v>620.93390274047852</v>
      </c>
      <c r="O102" s="304"/>
      <c r="R102" s="272" t="str">
        <f t="shared" si="63"/>
        <v>TRAIL MT 2E</v>
      </c>
      <c r="S102" s="290">
        <f>VLOOKUP(R102,$R$118:$S$208,2,FALSE)</f>
        <v>62.12</v>
      </c>
      <c r="T102" s="291">
        <f t="shared" si="87"/>
        <v>56.457000732421875</v>
      </c>
      <c r="U102" s="270"/>
      <c r="V102" s="272" t="str">
        <f t="shared" si="64"/>
        <v>TRAIL MT 2E</v>
      </c>
      <c r="W102" s="290">
        <f t="shared" si="88"/>
        <v>69.34</v>
      </c>
      <c r="X102" s="291">
        <f t="shared" si="103"/>
        <v>57.111301422119141</v>
      </c>
      <c r="Y102" s="270"/>
      <c r="Z102" s="272" t="str">
        <f t="shared" si="130"/>
        <v>TRAIL MT 2E</v>
      </c>
      <c r="AA102" s="290">
        <f t="shared" si="89"/>
        <v>65.91</v>
      </c>
      <c r="AB102" s="291">
        <f t="shared" si="104"/>
        <v>55.961200714111328</v>
      </c>
      <c r="AC102" s="270"/>
      <c r="AD102" s="272" t="str">
        <f t="shared" si="68"/>
        <v>TRAIL MT 2E</v>
      </c>
      <c r="AE102" s="290">
        <f t="shared" si="137"/>
        <v>197.37</v>
      </c>
      <c r="AF102" s="291">
        <f t="shared" si="138"/>
        <v>169.52950286865234</v>
      </c>
      <c r="AG102" s="271"/>
      <c r="AH102" s="299"/>
      <c r="AI102" s="299"/>
      <c r="AJ102" s="299"/>
      <c r="AK102" s="271"/>
      <c r="AL102" s="272" t="str">
        <f t="shared" si="69"/>
        <v>TRAIL MT 2E</v>
      </c>
      <c r="AM102" s="273">
        <f t="shared" si="97"/>
        <v>58.84</v>
      </c>
      <c r="AN102" s="273">
        <f t="shared" si="71"/>
        <v>53.109001159667969</v>
      </c>
      <c r="AO102" s="274"/>
      <c r="AP102" s="275" t="str">
        <f t="shared" si="72"/>
        <v>TRAIL MT 2E</v>
      </c>
      <c r="AQ102" s="340">
        <f t="shared" si="133"/>
        <v>62.42</v>
      </c>
      <c r="AR102" s="273">
        <f t="shared" si="74"/>
        <v>53.859401702880859</v>
      </c>
      <c r="AS102" s="276"/>
      <c r="AT102" s="275" t="str">
        <f t="shared" si="75"/>
        <v>TRAIL MT 2E</v>
      </c>
      <c r="AU102" s="340">
        <f t="shared" si="134"/>
        <v>58.41</v>
      </c>
      <c r="AV102" s="273">
        <f t="shared" si="77"/>
        <v>51.188999176025391</v>
      </c>
      <c r="AW102" s="277"/>
      <c r="AX102" s="275" t="str">
        <f t="shared" si="78"/>
        <v>TRAIL MT 2E</v>
      </c>
      <c r="AY102" s="273">
        <f t="shared" si="58"/>
        <v>179.67000000000002</v>
      </c>
      <c r="AZ102" s="273">
        <f t="shared" si="59"/>
        <v>158.15740203857422</v>
      </c>
      <c r="BA102" s="270"/>
      <c r="BB102" s="344"/>
      <c r="BC102" s="344"/>
      <c r="BD102" s="344"/>
      <c r="BE102" s="270"/>
      <c r="BF102" s="317"/>
      <c r="BG102" s="272" t="str">
        <f t="shared" si="119"/>
        <v>TRAIL MT 2E</v>
      </c>
      <c r="BH102" s="290">
        <f t="shared" si="142"/>
        <v>59.52</v>
      </c>
      <c r="BI102" s="291">
        <f t="shared" si="105"/>
        <v>51.980800628662109</v>
      </c>
      <c r="BJ102" s="280"/>
      <c r="BK102" s="272" t="str">
        <f t="shared" si="81"/>
        <v>TRAIL MT 2E</v>
      </c>
      <c r="BL102" s="290">
        <f t="shared" si="139"/>
        <v>53.2</v>
      </c>
      <c r="BM102" s="290">
        <f t="shared" si="92"/>
        <v>51.115898132324219</v>
      </c>
      <c r="BN102" s="281"/>
      <c r="BO102" s="292" t="str">
        <f t="shared" si="93"/>
        <v>TRAIL MT 2E</v>
      </c>
      <c r="BP102" s="290">
        <f t="shared" si="143"/>
        <v>55.19</v>
      </c>
      <c r="BQ102" s="291">
        <f t="shared" si="144"/>
        <v>45.421600341796875</v>
      </c>
      <c r="BR102" s="280"/>
      <c r="BS102" s="293" t="str">
        <f t="shared" si="95"/>
        <v>TRAIL MT 2E</v>
      </c>
      <c r="BT102" s="290">
        <f t="shared" si="140"/>
        <v>167.91</v>
      </c>
      <c r="BU102" s="291">
        <f t="shared" si="141"/>
        <v>148.5182991027832</v>
      </c>
      <c r="BV102" s="449"/>
      <c r="BW102" s="448"/>
      <c r="BX102" s="448"/>
      <c r="CA102" s="281"/>
      <c r="CB102" s="281"/>
      <c r="CC102" s="280"/>
      <c r="CD102" s="280" t="str">
        <f t="shared" si="99"/>
        <v>TRAIL MT 2E</v>
      </c>
      <c r="CE102" s="280"/>
      <c r="CF102" s="280">
        <f t="shared" si="111"/>
        <v>49.506999969482422</v>
      </c>
      <c r="CG102" s="280"/>
      <c r="CH102" s="280" t="str">
        <f t="shared" si="100"/>
        <v>TRAIL MT 2E</v>
      </c>
      <c r="CI102" s="280"/>
      <c r="CJ102" s="284">
        <f t="shared" si="112"/>
        <v>47.180999755859375</v>
      </c>
      <c r="CK102" s="280"/>
      <c r="CL102" s="280" t="str">
        <f t="shared" si="101"/>
        <v>TRAIL MT 2E</v>
      </c>
      <c r="CM102" s="280"/>
      <c r="CN102" s="284">
        <f t="shared" si="113"/>
        <v>48.040699005126953</v>
      </c>
    </row>
    <row r="103" spans="1:92" ht="15" customHeight="1" x14ac:dyDescent="0.25">
      <c r="A103" s="328"/>
      <c r="B103" s="246">
        <f>SUM(B99:B102)</f>
        <v>734.85902404785156</v>
      </c>
      <c r="C103" s="246">
        <f t="shared" ref="C103:N103" si="145">SUM(C99:C102)</f>
        <v>746.13898849487305</v>
      </c>
      <c r="D103" s="246">
        <f t="shared" si="145"/>
        <v>733.72037506103516</v>
      </c>
      <c r="E103" s="246">
        <f t="shared" si="145"/>
        <v>698.72099685668945</v>
      </c>
      <c r="F103" s="246">
        <f t="shared" si="145"/>
        <v>710.90750885009766</v>
      </c>
      <c r="G103" s="246">
        <f t="shared" si="145"/>
        <v>677.76599502563477</v>
      </c>
      <c r="H103" s="246">
        <f t="shared" si="145"/>
        <v>690.28010177612305</v>
      </c>
      <c r="I103" s="246">
        <f t="shared" si="145"/>
        <v>680.66390991210937</v>
      </c>
      <c r="J103" s="246">
        <f t="shared" si="145"/>
        <v>606.46039962768555</v>
      </c>
      <c r="K103" s="246">
        <f t="shared" si="145"/>
        <v>662.59090232849121</v>
      </c>
      <c r="L103" s="246">
        <f t="shared" si="145"/>
        <v>632.97600364685059</v>
      </c>
      <c r="M103" s="246">
        <f t="shared" si="145"/>
        <v>645.87259483337402</v>
      </c>
      <c r="N103" s="246">
        <f t="shared" si="145"/>
        <v>8220.9568004608154</v>
      </c>
      <c r="O103" s="304"/>
      <c r="R103" s="314" t="s">
        <v>252</v>
      </c>
      <c r="S103" s="315">
        <f>SUM(S99:S102)</f>
        <v>834.7600000000001</v>
      </c>
      <c r="T103" s="315">
        <f>SUM(T99:T102)</f>
        <v>734.85902404785156</v>
      </c>
      <c r="U103" s="270"/>
      <c r="V103" s="314" t="s">
        <v>252</v>
      </c>
      <c r="W103" s="315">
        <f>SUM(W99:W102)</f>
        <v>864.55000000000007</v>
      </c>
      <c r="X103" s="315">
        <f>SUM(X99:X102)</f>
        <v>746.13898849487305</v>
      </c>
      <c r="Y103" s="270"/>
      <c r="Z103" s="314" t="s">
        <v>252</v>
      </c>
      <c r="AA103" s="315">
        <f>SUM(AA99:AA102)</f>
        <v>893.20999999999992</v>
      </c>
      <c r="AB103" s="315">
        <f>SUM(AB99:AB102)</f>
        <v>733.72037506103516</v>
      </c>
      <c r="AC103" s="270"/>
      <c r="AD103" s="314" t="s">
        <v>252</v>
      </c>
      <c r="AE103" s="315">
        <f t="shared" ref="AE103" si="146">SUM(S103,W103,AA103)</f>
        <v>2592.52</v>
      </c>
      <c r="AF103" s="315">
        <f t="shared" ref="AF103" si="147">SUM(T103,X103,AB103)</f>
        <v>2214.7183876037598</v>
      </c>
      <c r="AG103" s="271"/>
      <c r="AH103" s="299"/>
      <c r="AI103" s="299"/>
      <c r="AJ103" s="299"/>
      <c r="AK103" s="271"/>
      <c r="AL103" s="314" t="s">
        <v>252</v>
      </c>
      <c r="AM103" s="316">
        <f>SUM(AM99:AM102)</f>
        <v>795.72</v>
      </c>
      <c r="AN103" s="316">
        <f>SUM(AN98:AN102)</f>
        <v>698.72099685668945</v>
      </c>
      <c r="AO103" s="274"/>
      <c r="AP103" s="314" t="str">
        <f>AL103</f>
        <v>Wexpro II Total</v>
      </c>
      <c r="AQ103" s="316">
        <f>SUM(AQ99:AQ102)</f>
        <v>804.06</v>
      </c>
      <c r="AR103" s="316">
        <f>SUM(AR99:AR102)</f>
        <v>710.90750885009766</v>
      </c>
      <c r="AS103" s="276"/>
      <c r="AT103" s="314" t="str">
        <f t="shared" si="75"/>
        <v>Wexpro II Total</v>
      </c>
      <c r="AU103" s="316">
        <f>SUM(AU99:AU102)</f>
        <v>898.8</v>
      </c>
      <c r="AV103" s="316">
        <f>SUM(AV99:AV102)</f>
        <v>677.76599502563477</v>
      </c>
      <c r="AW103" s="277"/>
      <c r="AX103" s="314" t="str">
        <f t="shared" si="78"/>
        <v>Wexpro II Total</v>
      </c>
      <c r="AY103" s="316">
        <f t="shared" si="58"/>
        <v>2498.58</v>
      </c>
      <c r="AZ103" s="316">
        <f t="shared" si="59"/>
        <v>2087.3945007324219</v>
      </c>
      <c r="BA103" s="270"/>
      <c r="BB103" s="344"/>
      <c r="BC103" s="344"/>
      <c r="BD103" s="344"/>
      <c r="BE103" s="270"/>
      <c r="BF103" s="317">
        <f>(AY103-AZ103)/AZ103</f>
        <v>0.19698504481222975</v>
      </c>
      <c r="BG103" s="314" t="str">
        <f>AX103</f>
        <v>Wexpro II Total</v>
      </c>
      <c r="BH103" s="315">
        <f>SUM(BH99:BH102)</f>
        <v>1015.5600000000001</v>
      </c>
      <c r="BI103" s="315">
        <f>SUM(BI99:BI102)</f>
        <v>690.28010177612305</v>
      </c>
      <c r="BJ103" s="280"/>
      <c r="BK103" s="314" t="s">
        <v>252</v>
      </c>
      <c r="BL103" s="315">
        <f>SUM(BL99:BL102)</f>
        <v>981.07</v>
      </c>
      <c r="BM103" s="315">
        <f>SUM(BM99:BM102)</f>
        <v>680.66390991210937</v>
      </c>
      <c r="BN103" s="281"/>
      <c r="BO103" s="314" t="s">
        <v>252</v>
      </c>
      <c r="BP103" s="315">
        <f>SUM(BP99:BP102)</f>
        <v>895.67000000000007</v>
      </c>
      <c r="BQ103" s="315">
        <f>SUM(BQ99:BQ102)</f>
        <v>606.46039962768555</v>
      </c>
      <c r="BR103" s="280"/>
      <c r="BS103" s="320" t="s">
        <v>252</v>
      </c>
      <c r="BT103" s="315">
        <f>SUM(BT99:BT102)</f>
        <v>2892.2999999999997</v>
      </c>
      <c r="BU103" s="315">
        <f>SUM(BU99:BU102)</f>
        <v>1977.404411315918</v>
      </c>
      <c r="BV103" s="346"/>
      <c r="BW103" s="448"/>
      <c r="BX103" s="347"/>
      <c r="CA103" s="281"/>
      <c r="CB103" s="281"/>
      <c r="CC103" s="280"/>
      <c r="CD103" s="280"/>
      <c r="CE103" s="280"/>
      <c r="CF103" s="280" t="str">
        <f t="shared" si="111"/>
        <v/>
      </c>
      <c r="CG103" s="280"/>
      <c r="CH103" s="280"/>
      <c r="CI103" s="280"/>
      <c r="CJ103" s="284" t="str">
        <f t="shared" si="112"/>
        <v/>
      </c>
      <c r="CK103" s="280"/>
      <c r="CL103" s="280"/>
      <c r="CM103" s="280"/>
      <c r="CN103" s="284" t="str">
        <f t="shared" si="113"/>
        <v/>
      </c>
    </row>
    <row r="104" spans="1:92" ht="15" customHeight="1" x14ac:dyDescent="0.25">
      <c r="A104" s="328"/>
      <c r="B104" s="246"/>
      <c r="C104" s="246"/>
      <c r="D104" s="246"/>
      <c r="E104" s="246"/>
      <c r="F104" s="246"/>
      <c r="G104" s="246"/>
      <c r="H104" s="246"/>
      <c r="I104" s="246"/>
      <c r="J104" s="246"/>
      <c r="K104" s="246"/>
      <c r="L104" s="246"/>
      <c r="M104" s="246"/>
      <c r="N104" s="246"/>
      <c r="R104" s="348"/>
      <c r="S104" s="310"/>
      <c r="T104" s="349" t="str">
        <f t="shared" si="87"/>
        <v/>
      </c>
      <c r="U104" s="270"/>
      <c r="V104" s="348"/>
      <c r="W104" s="310"/>
      <c r="X104" s="349" t="str">
        <f t="shared" si="103"/>
        <v/>
      </c>
      <c r="Y104" s="270"/>
      <c r="Z104" s="348"/>
      <c r="AA104" s="310"/>
      <c r="AB104" s="349" t="str">
        <f t="shared" si="104"/>
        <v/>
      </c>
      <c r="AC104" s="270"/>
      <c r="AD104" s="348"/>
      <c r="AE104" s="310"/>
      <c r="AF104" s="349"/>
      <c r="AG104" s="271"/>
      <c r="AH104" s="445">
        <v>9.1999999999999993</v>
      </c>
      <c r="AI104" s="271"/>
      <c r="AJ104" s="271"/>
      <c r="AK104" s="271"/>
      <c r="AL104" s="272"/>
      <c r="AM104" s="273"/>
      <c r="AN104" s="273" t="str">
        <f t="shared" si="71"/>
        <v/>
      </c>
      <c r="AO104" s="274"/>
      <c r="AP104" s="275"/>
      <c r="AQ104" s="273"/>
      <c r="AR104" s="273" t="str">
        <f t="shared" si="74"/>
        <v/>
      </c>
      <c r="AS104" s="276"/>
      <c r="AT104" s="275"/>
      <c r="AU104" s="273"/>
      <c r="AV104" s="273" t="str">
        <f t="shared" si="77"/>
        <v/>
      </c>
      <c r="AW104" s="277"/>
      <c r="AX104" s="275"/>
      <c r="AY104" s="273"/>
      <c r="AZ104" s="273"/>
      <c r="BA104" s="270"/>
      <c r="BB104" s="445">
        <v>9.1999999999999993</v>
      </c>
      <c r="BC104" s="344"/>
      <c r="BD104" s="344"/>
      <c r="BE104" s="270"/>
      <c r="BF104" s="280"/>
      <c r="BG104" s="272"/>
      <c r="BH104" s="290"/>
      <c r="BI104" s="291" t="str">
        <f t="shared" si="105"/>
        <v/>
      </c>
      <c r="BJ104" s="280"/>
      <c r="BK104" s="272"/>
      <c r="BL104" s="290"/>
      <c r="BM104" s="290"/>
      <c r="BN104" s="281"/>
      <c r="BO104" s="292"/>
      <c r="BP104" s="290"/>
      <c r="BQ104" s="291"/>
      <c r="BR104" s="280"/>
      <c r="BS104" s="293"/>
      <c r="BT104" s="290"/>
      <c r="BU104" s="291"/>
      <c r="BV104" s="346"/>
      <c r="BW104" s="445">
        <v>9.1999999999999993</v>
      </c>
      <c r="BX104" s="347"/>
      <c r="BY104" s="281"/>
      <c r="BZ104" s="281"/>
      <c r="CA104" s="281"/>
      <c r="CB104" s="281"/>
      <c r="CC104" s="280"/>
      <c r="CD104" s="280"/>
      <c r="CE104" s="280"/>
      <c r="CF104" s="280" t="str">
        <f t="shared" si="111"/>
        <v/>
      </c>
      <c r="CG104" s="280"/>
      <c r="CH104" s="280"/>
      <c r="CI104" s="280"/>
      <c r="CJ104" s="284" t="str">
        <f t="shared" si="112"/>
        <v/>
      </c>
      <c r="CK104" s="280"/>
      <c r="CL104" s="280"/>
      <c r="CM104" s="280"/>
      <c r="CN104" s="284" t="str">
        <f t="shared" si="113"/>
        <v/>
      </c>
    </row>
    <row r="105" spans="1:92" ht="15" customHeight="1" x14ac:dyDescent="0.25">
      <c r="A105" s="328" t="s">
        <v>12</v>
      </c>
      <c r="B105" s="350">
        <f>SUM(B87,B96,B103)</f>
        <v>5344.2979461848736</v>
      </c>
      <c r="C105" s="351">
        <f t="shared" ref="C105:M105" si="148">SUM(C87,C96,C103)</f>
        <v>5520.9338066577911</v>
      </c>
      <c r="D105" s="351">
        <f t="shared" si="148"/>
        <v>5441.3772496581078</v>
      </c>
      <c r="E105" s="351">
        <f t="shared" si="148"/>
        <v>5176.3080141991377</v>
      </c>
      <c r="F105" s="351">
        <f t="shared" si="148"/>
        <v>5307.6774236559868</v>
      </c>
      <c r="G105" s="351">
        <f t="shared" si="148"/>
        <v>5238.4319805800915</v>
      </c>
      <c r="H105" s="351">
        <f t="shared" si="148"/>
        <v>5699.6538491696119</v>
      </c>
      <c r="I105" s="351">
        <f t="shared" si="148"/>
        <v>5610.8419172912836</v>
      </c>
      <c r="J105" s="351">
        <f t="shared" si="148"/>
        <v>4965.6348265111446</v>
      </c>
      <c r="K105" s="351">
        <f t="shared" si="148"/>
        <v>5392.7383650690317</v>
      </c>
      <c r="L105" s="351">
        <f t="shared" si="148"/>
        <v>5127.018007054925</v>
      </c>
      <c r="M105" s="352">
        <f t="shared" si="148"/>
        <v>5211.2646570360657</v>
      </c>
      <c r="N105" s="353">
        <f>SUM(N87,N96,N103)</f>
        <v>64036.178043068052</v>
      </c>
      <c r="O105" s="304"/>
      <c r="R105" s="354" t="str">
        <f t="shared" si="63"/>
        <v>Total</v>
      </c>
      <c r="S105" s="270">
        <f>SUM(S87,S96,S103)</f>
        <v>5738.9100000000008</v>
      </c>
      <c r="T105" s="270">
        <f>SUM(T87,T96,T103)</f>
        <v>5344.2979461848736</v>
      </c>
      <c r="U105" s="270"/>
      <c r="V105" s="354" t="s">
        <v>12</v>
      </c>
      <c r="W105" s="270">
        <f>SUM(W87,W96,W103)</f>
        <v>5875.2499999999991</v>
      </c>
      <c r="X105" s="270">
        <f>SUM(X87,X96,X103)</f>
        <v>5520.9338066577911</v>
      </c>
      <c r="Y105" s="270"/>
      <c r="Z105" s="354" t="str">
        <f t="shared" si="130"/>
        <v>Total</v>
      </c>
      <c r="AA105" s="355">
        <f>SUM(AA87,AA96,AA103)</f>
        <v>5626.69</v>
      </c>
      <c r="AB105" s="270">
        <f>SUM(AB87,AB96,AB103)</f>
        <v>5441.3772496581078</v>
      </c>
      <c r="AC105" s="270"/>
      <c r="AD105" s="354" t="str">
        <f t="shared" si="68"/>
        <v>Total</v>
      </c>
      <c r="AE105" s="270">
        <f t="shared" ref="AE105:AF105" si="149">SUM(S105,W105,AA105)</f>
        <v>17240.849999999999</v>
      </c>
      <c r="AF105" s="270">
        <f t="shared" si="149"/>
        <v>16306.609002500772</v>
      </c>
      <c r="AG105" s="271"/>
      <c r="AH105" s="445"/>
      <c r="AI105" s="271"/>
      <c r="AJ105" s="271"/>
      <c r="AK105" s="271"/>
      <c r="AL105" s="314" t="str">
        <f t="shared" si="69"/>
        <v>Total</v>
      </c>
      <c r="AM105" s="316">
        <f>SUM(AM87,AM96,AM103)</f>
        <v>5701.7300000000023</v>
      </c>
      <c r="AN105" s="316">
        <f>SUM(AN87,AN96,AN103)</f>
        <v>5176.3080141991377</v>
      </c>
      <c r="AO105" s="274"/>
      <c r="AP105" s="316" t="str">
        <f t="shared" si="72"/>
        <v>Total</v>
      </c>
      <c r="AQ105" s="316">
        <f>SUM(AQ87,AQ96,AQ103)</f>
        <v>5899.58</v>
      </c>
      <c r="AR105" s="316">
        <f>SUM(AR87,AR96,AR103)</f>
        <v>5307.6774236559868</v>
      </c>
      <c r="AS105" s="276"/>
      <c r="AT105" s="316" t="str">
        <f t="shared" si="75"/>
        <v>Total</v>
      </c>
      <c r="AU105" s="316">
        <f>SUM(AU87,AU96,AU103)</f>
        <v>5676.22</v>
      </c>
      <c r="AV105" s="316">
        <f>SUM(AV87,AV96,AV103)</f>
        <v>5238.4319805800915</v>
      </c>
      <c r="AW105" s="306"/>
      <c r="AX105" s="316" t="str">
        <f t="shared" si="78"/>
        <v>Total</v>
      </c>
      <c r="AY105" s="316">
        <f t="shared" si="58"/>
        <v>17277.530000000002</v>
      </c>
      <c r="AZ105" s="316">
        <f t="shared" si="59"/>
        <v>15722.417418435216</v>
      </c>
      <c r="BA105" s="270"/>
      <c r="BB105" s="445"/>
      <c r="BC105" s="344"/>
      <c r="BD105" s="344"/>
      <c r="BE105" s="270"/>
      <c r="BF105" s="281"/>
      <c r="BG105" s="314" t="str">
        <f t="shared" si="119"/>
        <v>Total</v>
      </c>
      <c r="BH105" s="315">
        <f>SUM(BH87,BH96,BH103)</f>
        <v>5712.3699999999981</v>
      </c>
      <c r="BI105" s="315">
        <f t="shared" si="105"/>
        <v>5699.6538491696119</v>
      </c>
      <c r="BJ105" s="280"/>
      <c r="BK105" s="314" t="str">
        <f t="shared" si="81"/>
        <v>Total</v>
      </c>
      <c r="BL105" s="315">
        <f>SUM(BL87,BL96,BL103)</f>
        <v>5410.81</v>
      </c>
      <c r="BM105" s="315">
        <f t="shared" si="92"/>
        <v>5610.8419172912836</v>
      </c>
      <c r="BN105" s="281"/>
      <c r="BO105" s="314" t="str">
        <f t="shared" si="93"/>
        <v>Total</v>
      </c>
      <c r="BP105" s="315">
        <f>SUM(BP87,BP96,BP103)</f>
        <v>4947.4699999999975</v>
      </c>
      <c r="BQ105" s="315">
        <f>IFERROR(VLOOKUP($BO105,$A$6:$M$105,10,FALSE),0)</f>
        <v>4965.6348265111446</v>
      </c>
      <c r="BR105" s="280"/>
      <c r="BS105" s="314" t="str">
        <f t="shared" si="95"/>
        <v>Total</v>
      </c>
      <c r="BT105" s="315">
        <f t="shared" si="110"/>
        <v>16070.649999999996</v>
      </c>
      <c r="BU105" s="315">
        <f t="shared" si="127"/>
        <v>16276.13059297204</v>
      </c>
      <c r="BV105" s="346"/>
      <c r="BW105" s="445"/>
      <c r="BX105" s="347"/>
      <c r="BY105" s="281"/>
      <c r="BZ105" s="281"/>
      <c r="CA105" s="281"/>
      <c r="CB105" s="281"/>
      <c r="CC105" s="280"/>
      <c r="CD105" s="280" t="str">
        <f t="shared" si="99"/>
        <v>Total</v>
      </c>
      <c r="CE105" s="280">
        <v>94.7</v>
      </c>
      <c r="CF105" s="280">
        <f t="shared" si="111"/>
        <v>5392.7383650690317</v>
      </c>
      <c r="CG105" s="281"/>
      <c r="CH105" s="280" t="str">
        <f t="shared" si="100"/>
        <v>Total</v>
      </c>
      <c r="CI105" s="280">
        <v>94.7</v>
      </c>
      <c r="CJ105" s="284">
        <f t="shared" si="112"/>
        <v>5127.018007054925</v>
      </c>
      <c r="CK105" s="280"/>
      <c r="CL105" s="280" t="str">
        <f t="shared" si="101"/>
        <v>Total</v>
      </c>
      <c r="CM105" s="280">
        <v>94.7</v>
      </c>
      <c r="CN105" s="284">
        <f t="shared" si="113"/>
        <v>5211.2646570360657</v>
      </c>
    </row>
    <row r="106" spans="1:92" ht="15" customHeight="1" x14ac:dyDescent="0.25">
      <c r="A106" s="356"/>
      <c r="B106" s="351">
        <f>DAY(EOMONTH(B5,0))</f>
        <v>30</v>
      </c>
      <c r="C106" s="351">
        <f t="shared" ref="C106:M106" si="150">DAY(EOMONTH(C5,0))</f>
        <v>31</v>
      </c>
      <c r="D106" s="351">
        <f t="shared" si="150"/>
        <v>31</v>
      </c>
      <c r="E106" s="351">
        <f t="shared" si="150"/>
        <v>30</v>
      </c>
      <c r="F106" s="351">
        <f t="shared" si="150"/>
        <v>31</v>
      </c>
      <c r="G106" s="351">
        <f t="shared" si="150"/>
        <v>30</v>
      </c>
      <c r="H106" s="351">
        <f t="shared" si="150"/>
        <v>31</v>
      </c>
      <c r="I106" s="351">
        <f t="shared" si="150"/>
        <v>31</v>
      </c>
      <c r="J106" s="351">
        <f t="shared" si="150"/>
        <v>28</v>
      </c>
      <c r="K106" s="351">
        <f t="shared" si="150"/>
        <v>31</v>
      </c>
      <c r="L106" s="351">
        <f t="shared" si="150"/>
        <v>30</v>
      </c>
      <c r="M106" s="351">
        <f t="shared" si="150"/>
        <v>31</v>
      </c>
      <c r="R106" s="354"/>
      <c r="S106" s="270"/>
      <c r="T106" s="270"/>
      <c r="U106" s="270"/>
      <c r="V106" s="354"/>
      <c r="W106" s="270"/>
      <c r="X106" s="270"/>
      <c r="Y106" s="270"/>
      <c r="Z106" s="354"/>
      <c r="AA106" s="270"/>
      <c r="AB106" s="270"/>
      <c r="AC106" s="270"/>
      <c r="AD106" s="354"/>
      <c r="AE106" s="270"/>
      <c r="AF106" s="270"/>
      <c r="AG106" s="271"/>
      <c r="AH106" s="445"/>
      <c r="AI106" s="271"/>
      <c r="AJ106" s="271"/>
      <c r="AK106" s="271"/>
      <c r="AL106" s="354"/>
      <c r="AM106" s="270"/>
      <c r="AN106" s="270"/>
      <c r="AO106" s="305"/>
      <c r="AP106" s="354"/>
      <c r="AQ106" s="270"/>
      <c r="AR106" s="270"/>
      <c r="AS106" s="281"/>
      <c r="AT106" s="354"/>
      <c r="AU106" s="270"/>
      <c r="AV106" s="270"/>
      <c r="AW106" s="270"/>
      <c r="AX106" s="354"/>
      <c r="AY106" s="270"/>
      <c r="AZ106" s="270"/>
      <c r="BA106" s="270"/>
      <c r="BC106" s="344"/>
      <c r="BD106" s="344"/>
      <c r="BE106" s="270"/>
      <c r="BF106" s="281"/>
      <c r="BG106" s="354"/>
      <c r="BH106" s="270"/>
      <c r="BI106" s="270"/>
      <c r="BJ106" s="281"/>
      <c r="BK106" s="354"/>
      <c r="BL106" s="270"/>
      <c r="BM106" s="270"/>
      <c r="BN106" s="281"/>
      <c r="BO106" s="354"/>
      <c r="BP106" s="270"/>
      <c r="BQ106" s="270"/>
      <c r="BR106" s="281"/>
      <c r="BS106" s="354"/>
      <c r="BT106" s="270"/>
      <c r="BU106" s="270"/>
      <c r="BV106" s="347"/>
      <c r="BW106" s="347"/>
      <c r="BX106" s="347"/>
      <c r="BY106" s="281"/>
      <c r="BZ106" s="281"/>
      <c r="CA106" s="281"/>
      <c r="CB106" s="281"/>
      <c r="CC106" s="280"/>
      <c r="CD106" s="280"/>
      <c r="CE106" s="280"/>
      <c r="CF106" s="280"/>
      <c r="CG106" s="280"/>
      <c r="CH106" s="280"/>
      <c r="CI106" s="280"/>
      <c r="CJ106" s="280"/>
      <c r="CK106" s="280"/>
      <c r="CL106" s="280"/>
      <c r="CM106" s="280"/>
      <c r="CN106" s="280"/>
    </row>
    <row r="107" spans="1:92" ht="15" customHeight="1" x14ac:dyDescent="0.25">
      <c r="A107" s="357" t="s">
        <v>189</v>
      </c>
      <c r="B107" s="350">
        <f>B105/B106</f>
        <v>178.14326487282912</v>
      </c>
      <c r="C107" s="351">
        <f t="shared" ref="C107:M107" si="151">C105/C106</f>
        <v>178.09463892444487</v>
      </c>
      <c r="D107" s="351">
        <f t="shared" si="151"/>
        <v>175.52829837606799</v>
      </c>
      <c r="E107" s="351">
        <f t="shared" si="151"/>
        <v>172.54360047330459</v>
      </c>
      <c r="F107" s="351">
        <f t="shared" si="151"/>
        <v>171.21540076309634</v>
      </c>
      <c r="G107" s="351">
        <f t="shared" si="151"/>
        <v>174.61439935266972</v>
      </c>
      <c r="H107" s="351">
        <f t="shared" si="151"/>
        <v>183.8598015861165</v>
      </c>
      <c r="I107" s="351">
        <f t="shared" si="151"/>
        <v>180.99490055778335</v>
      </c>
      <c r="J107" s="351">
        <f t="shared" si="151"/>
        <v>177.34410094682659</v>
      </c>
      <c r="K107" s="351">
        <f t="shared" si="151"/>
        <v>173.95930209900104</v>
      </c>
      <c r="L107" s="351">
        <f t="shared" si="151"/>
        <v>170.90060023516418</v>
      </c>
      <c r="M107" s="352">
        <f t="shared" si="151"/>
        <v>168.10531151729245</v>
      </c>
      <c r="R107" s="354"/>
      <c r="S107" s="342"/>
      <c r="T107" s="342"/>
      <c r="U107" s="358"/>
      <c r="V107" s="354"/>
      <c r="W107" s="342"/>
      <c r="X107" s="342"/>
      <c r="Y107" s="358"/>
      <c r="Z107" s="354"/>
      <c r="AA107" s="342"/>
      <c r="AB107" s="270"/>
      <c r="AC107" s="358"/>
      <c r="AD107" s="354"/>
      <c r="AE107" s="342"/>
      <c r="AF107" s="270"/>
      <c r="AK107" s="271"/>
      <c r="AL107" s="354">
        <v>5701703.8099999996</v>
      </c>
      <c r="AM107" s="342"/>
      <c r="AN107" s="270"/>
      <c r="AO107" s="245"/>
      <c r="AP107" s="354">
        <v>5899597.8700000001</v>
      </c>
      <c r="AQ107" s="342"/>
      <c r="AR107" s="270"/>
      <c r="AS107" s="244"/>
      <c r="AT107" s="354">
        <v>5676247.9400000004</v>
      </c>
      <c r="AU107" s="342"/>
      <c r="AV107" s="270"/>
      <c r="AW107" s="270"/>
      <c r="AX107" s="354"/>
      <c r="AY107" s="342"/>
      <c r="AZ107" s="270"/>
      <c r="BA107" s="270"/>
      <c r="BB107" s="270"/>
      <c r="BC107" s="270"/>
      <c r="BD107" s="270"/>
      <c r="BE107" s="270"/>
      <c r="BG107" s="354"/>
      <c r="BH107" s="270"/>
      <c r="BI107" s="270"/>
      <c r="BK107" s="354"/>
      <c r="BL107" s="270"/>
      <c r="BM107" s="270"/>
      <c r="BO107" s="354"/>
      <c r="BP107" s="270"/>
      <c r="BQ107" s="270"/>
      <c r="BR107" s="245"/>
      <c r="BS107" s="354"/>
      <c r="BT107" s="270"/>
      <c r="BU107" s="270"/>
      <c r="BV107" s="347"/>
      <c r="BW107" s="347"/>
      <c r="BX107" s="347"/>
    </row>
    <row r="108" spans="1:92" ht="15" customHeight="1" x14ac:dyDescent="0.25">
      <c r="A108" s="356"/>
      <c r="B108" s="356"/>
      <c r="C108" s="356"/>
      <c r="D108" s="356"/>
      <c r="E108" s="356"/>
      <c r="F108" s="356"/>
      <c r="G108" s="356"/>
      <c r="H108" s="356"/>
      <c r="I108" s="356"/>
      <c r="J108" s="356"/>
      <c r="K108" s="356"/>
      <c r="L108" s="356"/>
      <c r="M108" s="356"/>
      <c r="R108" s="354"/>
      <c r="S108" s="270"/>
      <c r="T108" s="270"/>
      <c r="U108" s="358"/>
      <c r="V108" s="354"/>
      <c r="W108" s="270"/>
      <c r="X108" s="270"/>
      <c r="Y108" s="358"/>
      <c r="Z108" s="354"/>
      <c r="AA108" s="270"/>
      <c r="AB108" s="270"/>
      <c r="AC108" s="358"/>
      <c r="AD108" s="354"/>
      <c r="AE108" s="270"/>
      <c r="AF108" s="270"/>
      <c r="AK108" s="271"/>
      <c r="AL108" s="354"/>
      <c r="AM108" s="270"/>
      <c r="AN108" s="270"/>
      <c r="AO108" s="245"/>
      <c r="AP108" s="354"/>
      <c r="AQ108" s="270"/>
      <c r="AR108" s="270"/>
      <c r="AS108" s="244"/>
      <c r="AT108" s="354"/>
      <c r="AU108" s="270"/>
      <c r="AV108" s="270"/>
      <c r="AW108" s="270"/>
      <c r="AX108" s="354"/>
      <c r="AY108" s="270"/>
      <c r="AZ108" s="270"/>
      <c r="BA108" s="270"/>
      <c r="BB108" s="270"/>
      <c r="BC108" s="270"/>
      <c r="BD108" s="270"/>
      <c r="BE108" s="270"/>
      <c r="BG108" s="354"/>
      <c r="BH108" s="270"/>
      <c r="BI108" s="270"/>
      <c r="BK108" s="354"/>
      <c r="BL108" s="270"/>
      <c r="BM108" s="270"/>
      <c r="BO108" s="354"/>
      <c r="BP108" s="270"/>
      <c r="BQ108" s="270"/>
      <c r="BR108" s="245"/>
      <c r="BS108" s="354"/>
      <c r="BT108" s="270"/>
      <c r="BU108" s="270"/>
      <c r="BV108" s="347"/>
      <c r="BW108" s="347"/>
      <c r="BX108" s="347"/>
    </row>
    <row r="109" spans="1:92" ht="15" customHeight="1" x14ac:dyDescent="0.25">
      <c r="A109" s="353" t="s">
        <v>209</v>
      </c>
      <c r="B109" s="350">
        <v>5346.0870000000014</v>
      </c>
      <c r="C109" s="351">
        <v>5545.1188000000002</v>
      </c>
      <c r="D109" s="351">
        <v>5441.3773000000028</v>
      </c>
      <c r="E109" s="351">
        <v>5176.308</v>
      </c>
      <c r="F109" s="351">
        <v>5307.6773999999987</v>
      </c>
      <c r="G109" s="351">
        <v>5238.431999999998</v>
      </c>
      <c r="H109" s="351">
        <v>5699.6537999999973</v>
      </c>
      <c r="I109" s="351">
        <v>5610.8418999999994</v>
      </c>
      <c r="J109" s="351">
        <v>4965.6347999999998</v>
      </c>
      <c r="K109" s="351">
        <v>5392.7383000000009</v>
      </c>
      <c r="L109" s="351">
        <v>5127.0180000000018</v>
      </c>
      <c r="M109" s="352">
        <v>5211.2673999999997</v>
      </c>
      <c r="N109" s="359">
        <f>SUM(B109:M109)</f>
        <v>64062.154699999992</v>
      </c>
      <c r="R109" s="354"/>
      <c r="S109" s="270"/>
      <c r="T109" s="270"/>
      <c r="U109" s="266"/>
      <c r="V109" s="354"/>
      <c r="W109" s="270"/>
      <c r="X109" s="270"/>
      <c r="Z109" s="354"/>
      <c r="AA109" s="270"/>
      <c r="AB109" s="270"/>
      <c r="AD109" s="354"/>
      <c r="AE109" s="270"/>
      <c r="AF109" s="270"/>
      <c r="AK109" s="271" t="str">
        <f t="shared" ref="AK109:AK112" si="152">IF(AM109&gt;AN109, AM109-AN109,"")</f>
        <v/>
      </c>
      <c r="AL109" s="354"/>
      <c r="AM109" s="270"/>
      <c r="AN109" s="270"/>
      <c r="AO109" s="245"/>
      <c r="AP109" s="354"/>
      <c r="AQ109" s="270"/>
      <c r="AR109" s="270"/>
      <c r="AS109" s="244"/>
      <c r="AT109" s="354"/>
      <c r="AU109" s="270"/>
      <c r="AV109" s="270"/>
      <c r="AW109" s="270"/>
      <c r="AX109" s="354"/>
      <c r="AY109" s="270"/>
      <c r="AZ109" s="270"/>
      <c r="BA109" s="270"/>
      <c r="BB109" s="270"/>
      <c r="BC109" s="270"/>
      <c r="BD109" s="270"/>
      <c r="BE109" s="270"/>
      <c r="BG109" s="354"/>
      <c r="BH109" s="270"/>
      <c r="BI109" s="270"/>
      <c r="BK109" s="354"/>
      <c r="BL109" s="270"/>
      <c r="BM109" s="270"/>
      <c r="BO109" s="354"/>
      <c r="BP109" s="270"/>
      <c r="BQ109" s="270"/>
      <c r="BR109" s="245"/>
      <c r="BS109" s="354"/>
      <c r="BT109" s="270"/>
      <c r="BU109" s="270"/>
      <c r="BV109" s="347"/>
      <c r="BW109" s="347"/>
      <c r="BX109" s="347"/>
    </row>
    <row r="110" spans="1:92" ht="15" customHeight="1" x14ac:dyDescent="0.25">
      <c r="A110" s="356">
        <v>1000</v>
      </c>
      <c r="B110" s="356"/>
      <c r="C110" s="356"/>
      <c r="D110" s="356"/>
      <c r="E110" s="356"/>
      <c r="F110" s="356"/>
      <c r="G110" s="356"/>
      <c r="H110" s="356"/>
      <c r="I110" s="356"/>
      <c r="J110" s="356"/>
      <c r="K110" s="356"/>
      <c r="L110" s="356"/>
      <c r="M110" s="356"/>
      <c r="N110" s="360"/>
      <c r="O110" s="304"/>
      <c r="R110" s="354"/>
      <c r="S110" s="270"/>
      <c r="T110" s="270"/>
      <c r="U110" s="266"/>
      <c r="V110" s="354"/>
      <c r="W110" s="270"/>
      <c r="X110" s="270"/>
      <c r="Z110" s="354"/>
      <c r="AA110" s="270"/>
      <c r="AB110" s="270"/>
      <c r="AD110" s="354"/>
      <c r="AE110" s="270"/>
      <c r="AF110" s="270"/>
      <c r="AK110" s="271" t="str">
        <f t="shared" si="152"/>
        <v/>
      </c>
      <c r="AL110" s="354"/>
      <c r="AM110" s="270"/>
      <c r="AN110" s="270"/>
      <c r="AO110" s="245"/>
      <c r="AP110" s="354"/>
      <c r="AQ110" s="270"/>
      <c r="AR110" s="270"/>
      <c r="AS110" s="244"/>
      <c r="AT110" s="354"/>
      <c r="AU110" s="270"/>
      <c r="AV110" s="270"/>
      <c r="AW110" s="270"/>
      <c r="AX110" s="354"/>
      <c r="AY110" s="270"/>
      <c r="AZ110" s="270"/>
      <c r="BA110" s="270"/>
      <c r="BB110" s="270"/>
      <c r="BC110" s="270"/>
      <c r="BD110" s="270"/>
      <c r="BE110" s="270"/>
      <c r="BG110" s="238" t="s">
        <v>168</v>
      </c>
      <c r="BH110" s="238" t="s">
        <v>224</v>
      </c>
      <c r="BI110" s="238" t="s">
        <v>169</v>
      </c>
      <c r="BK110" s="238" t="s">
        <v>168</v>
      </c>
      <c r="BL110" s="238" t="s">
        <v>225</v>
      </c>
      <c r="BM110" s="238" t="s">
        <v>169</v>
      </c>
      <c r="BN110" s="245">
        <f t="shared" ref="BN110:BN137" si="153">VLOOKUP(BK112,$BK$6:$BL$109,2,FALSE)-BL112</f>
        <v>0</v>
      </c>
      <c r="BO110" s="238" t="s">
        <v>168</v>
      </c>
      <c r="BP110" s="238" t="s">
        <v>227</v>
      </c>
      <c r="BQ110" s="238" t="s">
        <v>169</v>
      </c>
      <c r="BR110" s="245"/>
      <c r="BS110" s="354"/>
      <c r="BT110" s="270"/>
      <c r="BU110" s="270"/>
      <c r="BV110" s="347"/>
      <c r="BW110" s="347"/>
      <c r="BX110" s="347"/>
    </row>
    <row r="111" spans="1:92" ht="15" customHeight="1" x14ac:dyDescent="0.25">
      <c r="A111" s="353" t="s">
        <v>210</v>
      </c>
      <c r="B111" s="353">
        <f>(B109-B105)*$A$110</f>
        <v>1789.0538151277724</v>
      </c>
      <c r="C111" s="353">
        <f t="shared" ref="C111:M111" si="154">(C109-C105)*$A$110</f>
        <v>24184.993342209054</v>
      </c>
      <c r="D111" s="353">
        <f t="shared" si="154"/>
        <v>5.0341895075689536E-2</v>
      </c>
      <c r="E111" s="353">
        <f t="shared" si="154"/>
        <v>-1.4199137694959063E-2</v>
      </c>
      <c r="F111" s="353">
        <f t="shared" si="154"/>
        <v>-2.3655988115933724E-2</v>
      </c>
      <c r="G111" s="353">
        <f t="shared" si="154"/>
        <v>1.9419906493567396E-2</v>
      </c>
      <c r="H111" s="353">
        <f t="shared" si="154"/>
        <v>-4.9169614612765145E-2</v>
      </c>
      <c r="I111" s="353">
        <f t="shared" si="154"/>
        <v>-1.7291284166276455E-2</v>
      </c>
      <c r="J111" s="353">
        <f t="shared" si="154"/>
        <v>-2.6511144824326038E-2</v>
      </c>
      <c r="K111" s="353">
        <f t="shared" si="154"/>
        <v>-6.5069030824815854E-2</v>
      </c>
      <c r="L111" s="353">
        <f t="shared" si="154"/>
        <v>-7.0549231168115512E-3</v>
      </c>
      <c r="M111" s="353">
        <f t="shared" si="154"/>
        <v>2.742963933997089</v>
      </c>
      <c r="N111" s="359">
        <f>SUM(B111:M111)</f>
        <v>25976.656931949037</v>
      </c>
      <c r="R111" s="354"/>
      <c r="S111" s="342"/>
      <c r="T111" s="342"/>
      <c r="U111" s="266"/>
      <c r="V111" s="354"/>
      <c r="W111" s="342"/>
      <c r="X111" s="342"/>
      <c r="Z111" s="354"/>
      <c r="AA111" s="342"/>
      <c r="AB111" s="342"/>
      <c r="AD111" s="354"/>
      <c r="AE111" s="342"/>
      <c r="AF111" s="342"/>
      <c r="AK111" s="271" t="str">
        <f t="shared" si="152"/>
        <v/>
      </c>
      <c r="AL111" s="354"/>
      <c r="AM111" s="342"/>
      <c r="AN111" s="342"/>
      <c r="AO111" s="245"/>
      <c r="AP111" s="354"/>
      <c r="AQ111" s="342"/>
      <c r="AR111" s="342"/>
      <c r="AS111" s="244"/>
      <c r="AT111" s="354"/>
      <c r="AU111" s="342"/>
      <c r="AV111" s="342"/>
      <c r="AW111" s="342"/>
      <c r="AX111" s="354"/>
      <c r="AY111" s="342"/>
      <c r="AZ111" s="342"/>
      <c r="BA111" s="342"/>
      <c r="BB111" s="342"/>
      <c r="BC111" s="342"/>
      <c r="BD111" s="342"/>
      <c r="BE111" s="342"/>
      <c r="BF111" s="245" t="str">
        <f>VLOOKUP(BG111,$BO$6:$BO$102,1,FALSE)</f>
        <v>ACEJD PC</v>
      </c>
      <c r="BG111" s="238" t="s">
        <v>82</v>
      </c>
      <c r="BH111" s="238">
        <v>0.67</v>
      </c>
      <c r="BI111" s="238">
        <v>5712.37</v>
      </c>
      <c r="BK111" s="238" t="s">
        <v>82</v>
      </c>
      <c r="BL111" s="238">
        <v>0.82</v>
      </c>
      <c r="BM111" s="238">
        <v>5410.87</v>
      </c>
      <c r="BN111" s="245">
        <f t="shared" si="153"/>
        <v>0</v>
      </c>
      <c r="BO111" s="238" t="s">
        <v>82</v>
      </c>
      <c r="BP111" s="238">
        <v>0.59</v>
      </c>
      <c r="BQ111" s="238">
        <v>4947.5</v>
      </c>
      <c r="BR111" s="245"/>
      <c r="BS111" s="354"/>
      <c r="BT111" s="270"/>
      <c r="BU111" s="270"/>
      <c r="BV111" s="347"/>
      <c r="BW111" s="347"/>
      <c r="BX111" s="347"/>
    </row>
    <row r="112" spans="1:92" ht="15" customHeight="1" x14ac:dyDescent="0.25">
      <c r="A112" s="353" t="s">
        <v>211</v>
      </c>
      <c r="B112" s="353">
        <f>B111/B106</f>
        <v>59.635127170925749</v>
      </c>
      <c r="C112" s="353">
        <f t="shared" ref="C112:M112" si="155">C111/C106</f>
        <v>780.16107555513076</v>
      </c>
      <c r="D112" s="353">
        <f t="shared" si="155"/>
        <v>1.6239320992157914E-3</v>
      </c>
      <c r="E112" s="353">
        <f t="shared" si="155"/>
        <v>-4.7330458983196877E-4</v>
      </c>
      <c r="F112" s="353">
        <f t="shared" si="155"/>
        <v>-7.6309639083657177E-4</v>
      </c>
      <c r="G112" s="353">
        <f t="shared" si="155"/>
        <v>6.4733021645224653E-4</v>
      </c>
      <c r="H112" s="353">
        <f t="shared" si="155"/>
        <v>-1.5861166004117789E-3</v>
      </c>
      <c r="I112" s="353">
        <f t="shared" si="155"/>
        <v>-5.5778336020246633E-4</v>
      </c>
      <c r="J112" s="353">
        <f t="shared" si="155"/>
        <v>-9.4682660086878713E-4</v>
      </c>
      <c r="K112" s="353">
        <f t="shared" si="155"/>
        <v>-2.0990009943488985E-3</v>
      </c>
      <c r="L112" s="353">
        <f t="shared" si="155"/>
        <v>-2.3516410389371836E-4</v>
      </c>
      <c r="M112" s="353">
        <f t="shared" si="155"/>
        <v>8.8482707548293196E-2</v>
      </c>
      <c r="R112" s="354"/>
      <c r="S112" s="270"/>
      <c r="T112" s="270"/>
      <c r="U112" s="266"/>
      <c r="V112" s="354"/>
      <c r="W112" s="270"/>
      <c r="X112" s="270"/>
      <c r="Z112" s="354"/>
      <c r="AA112" s="270"/>
      <c r="AB112" s="270"/>
      <c r="AD112" s="354"/>
      <c r="AE112" s="270"/>
      <c r="AF112" s="270"/>
      <c r="AK112" s="271" t="str">
        <f t="shared" si="152"/>
        <v/>
      </c>
      <c r="AL112" s="354"/>
      <c r="AM112" s="270"/>
      <c r="AN112" s="270"/>
      <c r="AO112" s="245"/>
      <c r="AP112" s="354"/>
      <c r="AQ112" s="270"/>
      <c r="AR112" s="270"/>
      <c r="AS112" s="244"/>
      <c r="AT112" s="354"/>
      <c r="AU112" s="270"/>
      <c r="AV112" s="270"/>
      <c r="AW112" s="270"/>
      <c r="AX112" s="354"/>
      <c r="AY112" s="270"/>
      <c r="AZ112" s="270"/>
      <c r="BA112" s="270"/>
      <c r="BB112" s="270"/>
      <c r="BC112" s="270"/>
      <c r="BD112" s="270"/>
      <c r="BE112" s="270"/>
      <c r="BF112" s="245" t="str">
        <f t="shared" ref="BF112:BF175" si="156">VLOOKUP(BG112,$BO$6:$BO$102,1,FALSE)</f>
        <v>ACEJDMT D24</v>
      </c>
      <c r="BG112" s="238" t="s">
        <v>152</v>
      </c>
      <c r="BH112" s="238">
        <v>17.27</v>
      </c>
      <c r="BI112" s="238">
        <v>5712.37</v>
      </c>
      <c r="BK112" s="238" t="s">
        <v>152</v>
      </c>
      <c r="BL112" s="238">
        <v>17.22</v>
      </c>
      <c r="BM112" s="238">
        <v>5410.87</v>
      </c>
      <c r="BN112" s="245">
        <f t="shared" si="153"/>
        <v>0</v>
      </c>
      <c r="BO112" s="238" t="s">
        <v>152</v>
      </c>
      <c r="BP112" s="238">
        <v>14.31</v>
      </c>
      <c r="BQ112" s="238">
        <v>4947.5</v>
      </c>
      <c r="BR112" s="245"/>
      <c r="BS112" s="354"/>
      <c r="BT112" s="270"/>
      <c r="BU112" s="270"/>
      <c r="BV112" s="445"/>
      <c r="BX112" s="281"/>
    </row>
    <row r="113" spans="1:76" ht="15" customHeight="1" x14ac:dyDescent="0.25">
      <c r="A113" s="356"/>
      <c r="B113" s="356"/>
      <c r="C113" s="356"/>
      <c r="D113" s="356"/>
      <c r="E113" s="356"/>
      <c r="F113" s="356"/>
      <c r="G113" s="356"/>
      <c r="H113" s="356"/>
      <c r="I113" s="356"/>
      <c r="J113" s="356"/>
      <c r="K113" s="356"/>
      <c r="L113" s="356"/>
      <c r="M113" s="356"/>
      <c r="R113" s="354"/>
      <c r="S113" s="358"/>
      <c r="T113" s="358"/>
      <c r="U113" s="266"/>
      <c r="V113" s="266"/>
      <c r="W113" s="266"/>
      <c r="X113" s="266"/>
      <c r="Z113" s="266"/>
      <c r="AA113" s="266"/>
      <c r="AB113" s="266"/>
      <c r="AD113" s="342"/>
      <c r="AE113" s="245"/>
      <c r="AF113" s="245"/>
      <c r="AL113" s="245"/>
      <c r="AM113" s="245"/>
      <c r="AN113" s="245"/>
      <c r="AO113" s="245"/>
      <c r="AP113" s="244"/>
      <c r="AQ113" s="244"/>
      <c r="AR113" s="244"/>
      <c r="AS113" s="244"/>
      <c r="AV113" s="245"/>
      <c r="AW113" s="245"/>
      <c r="AX113" s="245"/>
      <c r="AY113" s="245"/>
      <c r="AZ113" s="245"/>
      <c r="BF113" s="245" t="str">
        <f t="shared" si="156"/>
        <v>ACEJDMT PC</v>
      </c>
      <c r="BG113" s="238" t="s">
        <v>181</v>
      </c>
      <c r="BH113" s="238">
        <v>4.5</v>
      </c>
      <c r="BI113" s="238">
        <v>5712.37</v>
      </c>
      <c r="BK113" s="238" t="s">
        <v>181</v>
      </c>
      <c r="BL113" s="238">
        <v>4.13</v>
      </c>
      <c r="BM113" s="238">
        <v>5410.87</v>
      </c>
      <c r="BN113" s="245">
        <f t="shared" si="153"/>
        <v>0</v>
      </c>
      <c r="BO113" s="238" t="s">
        <v>181</v>
      </c>
      <c r="BP113" s="238">
        <v>4.08</v>
      </c>
      <c r="BQ113" s="238">
        <v>4947.5</v>
      </c>
      <c r="BR113" s="245"/>
      <c r="BS113" s="354"/>
      <c r="BT113" s="342"/>
      <c r="BU113" s="342"/>
      <c r="BV113" s="445"/>
      <c r="BX113" s="281"/>
    </row>
    <row r="114" spans="1:76" ht="15" customHeight="1" x14ac:dyDescent="0.25">
      <c r="A114" s="357"/>
      <c r="B114" s="356"/>
      <c r="C114" s="356"/>
      <c r="D114" s="356"/>
      <c r="E114" s="356"/>
      <c r="F114" s="356"/>
      <c r="G114" s="356"/>
      <c r="H114" s="356"/>
      <c r="I114" s="356"/>
      <c r="J114" s="356"/>
      <c r="K114" s="356"/>
      <c r="L114" s="356"/>
      <c r="M114" s="356"/>
      <c r="R114" s="354"/>
      <c r="S114" s="358"/>
      <c r="T114" s="358"/>
      <c r="U114" s="266"/>
      <c r="V114" s="266"/>
      <c r="W114" s="266"/>
      <c r="X114" s="266"/>
      <c r="Z114" s="266"/>
      <c r="AA114" s="266"/>
      <c r="AB114" s="266"/>
      <c r="AD114" s="342"/>
      <c r="AE114" s="245"/>
      <c r="AF114" s="245"/>
      <c r="AL114" s="245"/>
      <c r="AM114" s="245"/>
      <c r="AN114" s="361"/>
      <c r="AO114" s="245"/>
      <c r="AP114" s="244"/>
      <c r="AQ114" s="244"/>
      <c r="AR114" s="362"/>
      <c r="AS114" s="244"/>
      <c r="AV114" s="361"/>
      <c r="AW114" s="361"/>
      <c r="AX114" s="361"/>
      <c r="AY114" s="361"/>
      <c r="AZ114" s="361"/>
      <c r="BA114" s="359"/>
      <c r="BB114" s="361"/>
      <c r="BC114" s="361"/>
      <c r="BD114" s="361"/>
      <c r="BE114" s="361"/>
      <c r="BF114" s="245" t="str">
        <f t="shared" si="156"/>
        <v>BIRCH CREEK</v>
      </c>
      <c r="BG114" s="238" t="s">
        <v>153</v>
      </c>
      <c r="BH114" s="238">
        <v>145.35</v>
      </c>
      <c r="BI114" s="238">
        <v>5712.37</v>
      </c>
      <c r="BK114" s="238" t="s">
        <v>153</v>
      </c>
      <c r="BL114" s="238">
        <v>139.38999999999999</v>
      </c>
      <c r="BM114" s="238">
        <v>5410.87</v>
      </c>
      <c r="BN114" s="245">
        <f t="shared" si="153"/>
        <v>0</v>
      </c>
      <c r="BO114" s="238" t="s">
        <v>153</v>
      </c>
      <c r="BP114" s="238">
        <v>94.16</v>
      </c>
      <c r="BQ114" s="238">
        <v>4947.5</v>
      </c>
      <c r="BR114" s="245"/>
      <c r="BS114" s="354"/>
      <c r="BT114" s="270"/>
      <c r="BU114" s="270"/>
    </row>
    <row r="115" spans="1:76" ht="15" customHeight="1" x14ac:dyDescent="0.25">
      <c r="A115" s="357"/>
      <c r="B115" s="356"/>
      <c r="C115" s="356"/>
      <c r="D115" s="356"/>
      <c r="E115" s="356"/>
      <c r="F115" s="356"/>
      <c r="G115" s="356"/>
      <c r="H115" s="356"/>
      <c r="I115" s="356"/>
      <c r="J115" s="356"/>
      <c r="K115" s="356"/>
      <c r="L115" s="356"/>
      <c r="M115" s="356"/>
      <c r="N115" s="360"/>
      <c r="O115" s="304"/>
      <c r="R115" s="266"/>
      <c r="S115" s="266"/>
      <c r="T115" s="266"/>
      <c r="U115" s="266"/>
      <c r="V115" s="266"/>
      <c r="W115" s="266"/>
      <c r="X115" s="266"/>
      <c r="Z115" s="266"/>
      <c r="AA115" s="266"/>
      <c r="AB115" s="266"/>
      <c r="AD115" s="342"/>
      <c r="BF115" s="245" t="str">
        <f t="shared" si="156"/>
        <v>BKSPUNT6MTPC</v>
      </c>
      <c r="BG115" s="238" t="s">
        <v>223</v>
      </c>
      <c r="BH115" s="238">
        <v>3.23</v>
      </c>
      <c r="BI115" s="238">
        <v>5712.37</v>
      </c>
      <c r="BK115" s="238" t="s">
        <v>223</v>
      </c>
      <c r="BL115" s="238">
        <v>1.79</v>
      </c>
      <c r="BM115" s="238">
        <v>5410.87</v>
      </c>
      <c r="BN115" s="245">
        <f t="shared" si="153"/>
        <v>0</v>
      </c>
      <c r="BR115" s="245"/>
      <c r="BS115" s="245"/>
      <c r="BT115" s="245"/>
      <c r="BU115" s="245"/>
    </row>
    <row r="116" spans="1:76" ht="15" customHeight="1" thickBot="1" x14ac:dyDescent="0.3">
      <c r="A116" s="356"/>
      <c r="B116" s="356"/>
      <c r="C116" s="356"/>
      <c r="D116" s="356"/>
      <c r="E116" s="356"/>
      <c r="F116" s="356"/>
      <c r="G116" s="356"/>
      <c r="H116" s="356"/>
      <c r="I116" s="356"/>
      <c r="J116" s="356"/>
      <c r="K116" s="356"/>
      <c r="L116" s="356"/>
      <c r="M116" s="356"/>
      <c r="N116" s="360"/>
      <c r="O116" s="304"/>
      <c r="R116" s="266"/>
      <c r="S116" s="266"/>
      <c r="T116" s="266"/>
      <c r="U116" s="266"/>
      <c r="V116" s="266"/>
      <c r="W116" s="266"/>
      <c r="X116" s="266"/>
      <c r="Z116" s="266"/>
      <c r="AA116" s="266"/>
      <c r="AB116" s="266"/>
      <c r="AD116" s="342"/>
      <c r="BF116" s="245" t="str">
        <f t="shared" si="156"/>
        <v>BRFM D24</v>
      </c>
      <c r="BG116" s="238" t="s">
        <v>83</v>
      </c>
      <c r="BH116" s="238">
        <v>2.65</v>
      </c>
      <c r="BI116" s="238">
        <v>5712.37</v>
      </c>
      <c r="BK116" s="238" t="s">
        <v>83</v>
      </c>
      <c r="BL116" s="238">
        <v>2.73</v>
      </c>
      <c r="BM116" s="238">
        <v>5410.87</v>
      </c>
      <c r="BN116" s="245">
        <f t="shared" si="153"/>
        <v>0</v>
      </c>
      <c r="BO116" s="238" t="s">
        <v>83</v>
      </c>
      <c r="BP116" s="238">
        <v>2.16</v>
      </c>
      <c r="BQ116" s="238">
        <v>4947.5</v>
      </c>
    </row>
    <row r="117" spans="1:76" ht="15" customHeight="1" x14ac:dyDescent="0.25">
      <c r="A117" s="356"/>
      <c r="B117" s="356"/>
      <c r="C117" s="356"/>
      <c r="D117" s="356"/>
      <c r="E117" s="356"/>
      <c r="F117" s="356"/>
      <c r="G117" s="356"/>
      <c r="H117" s="356"/>
      <c r="I117" s="356"/>
      <c r="J117" s="356"/>
      <c r="K117" s="356"/>
      <c r="L117" s="356"/>
      <c r="M117" s="356"/>
      <c r="N117" s="360"/>
      <c r="O117" s="304"/>
      <c r="R117" s="363" t="s">
        <v>168</v>
      </c>
      <c r="S117" s="364" t="s">
        <v>194</v>
      </c>
      <c r="T117" s="365" t="s">
        <v>169</v>
      </c>
      <c r="U117" s="266"/>
      <c r="V117" s="256" t="s">
        <v>168</v>
      </c>
      <c r="W117" s="256" t="s">
        <v>199</v>
      </c>
      <c r="X117" s="256" t="s">
        <v>169</v>
      </c>
      <c r="Z117" s="366" t="s">
        <v>168</v>
      </c>
      <c r="AA117" s="367" t="s">
        <v>200</v>
      </c>
      <c r="AB117" s="368" t="s">
        <v>169</v>
      </c>
      <c r="AD117" s="342"/>
      <c r="AL117" s="238" t="s">
        <v>168</v>
      </c>
      <c r="AM117" s="238" t="s">
        <v>213</v>
      </c>
      <c r="AN117" s="238" t="s">
        <v>169</v>
      </c>
      <c r="AP117" s="243" t="s">
        <v>168</v>
      </c>
      <c r="AQ117" s="243" t="s">
        <v>214</v>
      </c>
      <c r="AR117" s="243" t="s">
        <v>169</v>
      </c>
      <c r="AT117" s="244" t="s">
        <v>168</v>
      </c>
      <c r="AU117" s="244" t="s">
        <v>215</v>
      </c>
      <c r="AV117" s="238" t="s">
        <v>169</v>
      </c>
      <c r="BF117" s="245" t="str">
        <f t="shared" si="156"/>
        <v>BRFM PC</v>
      </c>
      <c r="BG117" s="238" t="s">
        <v>170</v>
      </c>
      <c r="BH117" s="238">
        <v>0.17</v>
      </c>
      <c r="BI117" s="238">
        <v>5712.37</v>
      </c>
      <c r="BK117" s="238" t="s">
        <v>170</v>
      </c>
      <c r="BL117" s="238">
        <v>0.18</v>
      </c>
      <c r="BM117" s="238">
        <v>5410.87</v>
      </c>
      <c r="BN117" s="245">
        <f t="shared" si="153"/>
        <v>0</v>
      </c>
      <c r="BO117" s="238" t="s">
        <v>170</v>
      </c>
      <c r="BP117" s="238">
        <v>0.14000000000000001</v>
      </c>
      <c r="BQ117" s="238">
        <v>4947.5</v>
      </c>
    </row>
    <row r="118" spans="1:76" ht="15" customHeight="1" x14ac:dyDescent="0.25">
      <c r="A118" s="245"/>
      <c r="B118" s="304"/>
      <c r="C118" s="304"/>
      <c r="D118" s="304"/>
      <c r="E118" s="304"/>
      <c r="F118" s="304"/>
      <c r="G118" s="304"/>
      <c r="H118" s="304"/>
      <c r="I118" s="304"/>
      <c r="J118" s="304"/>
      <c r="K118" s="304"/>
      <c r="L118" s="304"/>
      <c r="M118" s="304"/>
      <c r="N118" s="360"/>
      <c r="O118" s="304"/>
      <c r="P118" s="238" t="str">
        <f t="shared" ref="P118:P150" si="157">VLOOKUP(R118,$R$6:$R$109,1,FALSE)</f>
        <v>ACEJD PC</v>
      </c>
      <c r="R118" s="369" t="s">
        <v>82</v>
      </c>
      <c r="S118" s="370">
        <v>0.57999999999999996</v>
      </c>
      <c r="T118" s="371">
        <v>5738.88</v>
      </c>
      <c r="U118" s="266"/>
      <c r="V118" s="256" t="s">
        <v>82</v>
      </c>
      <c r="W118" s="256">
        <v>0.47</v>
      </c>
      <c r="X118" s="256">
        <v>5875.18</v>
      </c>
      <c r="Z118" s="266" t="s">
        <v>82</v>
      </c>
      <c r="AA118" s="266">
        <v>0.72</v>
      </c>
      <c r="AB118" s="238">
        <v>5626.62</v>
      </c>
      <c r="AD118" s="342"/>
      <c r="AK118" s="238">
        <f>VLOOKUP(AL118,$AL$6:$AM$102,2,FALSE)</f>
        <v>0.69</v>
      </c>
      <c r="AL118" s="238" t="s">
        <v>82</v>
      </c>
      <c r="AM118" s="238">
        <v>0.69</v>
      </c>
      <c r="AN118" s="265">
        <v>5701.7</v>
      </c>
      <c r="AO118" s="238">
        <f>VLOOKUP(AP118,$AP$6:$AQ$102,2,FALSE)</f>
        <v>0.71</v>
      </c>
      <c r="AP118" s="243" t="s">
        <v>82</v>
      </c>
      <c r="AQ118" s="243">
        <v>0.71</v>
      </c>
      <c r="AR118" s="243">
        <v>5899.6</v>
      </c>
      <c r="AT118" s="244" t="s">
        <v>82</v>
      </c>
      <c r="AU118" s="244">
        <v>0.65</v>
      </c>
      <c r="AV118" s="238">
        <v>5676.25</v>
      </c>
      <c r="BF118" s="245" t="str">
        <f t="shared" si="156"/>
        <v>BRFQ D24</v>
      </c>
      <c r="BG118" s="238" t="s">
        <v>84</v>
      </c>
      <c r="BH118" s="238">
        <v>176.66</v>
      </c>
      <c r="BI118" s="238">
        <v>5712.37</v>
      </c>
      <c r="BK118" s="238" t="s">
        <v>84</v>
      </c>
      <c r="BL118" s="238">
        <v>153.94999999999999</v>
      </c>
      <c r="BM118" s="238">
        <v>5410.87</v>
      </c>
      <c r="BN118" s="245">
        <f t="shared" si="153"/>
        <v>0</v>
      </c>
      <c r="BO118" s="238" t="s">
        <v>84</v>
      </c>
      <c r="BP118" s="238">
        <v>163.37</v>
      </c>
      <c r="BQ118" s="238">
        <v>4947.5</v>
      </c>
    </row>
    <row r="119" spans="1:76" ht="15" customHeight="1" x14ac:dyDescent="0.25">
      <c r="A119" s="245"/>
      <c r="B119" s="304"/>
      <c r="C119" s="304"/>
      <c r="D119" s="304"/>
      <c r="E119" s="304"/>
      <c r="F119" s="304"/>
      <c r="G119" s="304"/>
      <c r="H119" s="304"/>
      <c r="I119" s="304"/>
      <c r="J119" s="304"/>
      <c r="K119" s="304"/>
      <c r="L119" s="304"/>
      <c r="M119" s="304"/>
      <c r="N119" s="360"/>
      <c r="O119" s="304"/>
      <c r="P119" s="238" t="str">
        <f t="shared" si="157"/>
        <v>ACEJDMT D24</v>
      </c>
      <c r="R119" s="372" t="s">
        <v>152</v>
      </c>
      <c r="S119" s="267">
        <v>12.62</v>
      </c>
      <c r="T119" s="267">
        <v>5738.88</v>
      </c>
      <c r="U119" s="266"/>
      <c r="V119" s="256" t="s">
        <v>152</v>
      </c>
      <c r="W119" s="256">
        <v>14.23</v>
      </c>
      <c r="X119" s="256">
        <v>5875.18</v>
      </c>
      <c r="Z119" s="266" t="s">
        <v>152</v>
      </c>
      <c r="AA119" s="266">
        <v>16.98</v>
      </c>
      <c r="AB119" s="238">
        <v>5626.62</v>
      </c>
      <c r="AD119" s="342"/>
      <c r="AK119" s="238">
        <f t="shared" ref="AK119:AK182" si="158">VLOOKUP(AL119,$AL$6:$AM$102,2,FALSE)</f>
        <v>14.81</v>
      </c>
      <c r="AL119" s="238" t="s">
        <v>152</v>
      </c>
      <c r="AM119" s="238">
        <v>14.81</v>
      </c>
      <c r="AN119" s="238">
        <v>5701.7</v>
      </c>
      <c r="AO119" s="238">
        <f t="shared" ref="AO119:AO182" si="159">VLOOKUP(AP119,$AP$6:$AQ$102,2,FALSE)</f>
        <v>13.95</v>
      </c>
      <c r="AP119" s="243" t="s">
        <v>152</v>
      </c>
      <c r="AQ119" s="243">
        <v>13.95</v>
      </c>
      <c r="AR119" s="243">
        <v>5899.6</v>
      </c>
      <c r="AT119" s="244" t="s">
        <v>152</v>
      </c>
      <c r="AU119" s="244">
        <v>17.07</v>
      </c>
      <c r="AV119" s="238">
        <v>5676.25</v>
      </c>
      <c r="BF119" s="245" t="str">
        <f t="shared" si="156"/>
        <v>BRFQ PC</v>
      </c>
      <c r="BG119" s="238" t="s">
        <v>85</v>
      </c>
      <c r="BH119" s="238">
        <v>21.28</v>
      </c>
      <c r="BI119" s="238">
        <v>5712.37</v>
      </c>
      <c r="BK119" s="238" t="s">
        <v>85</v>
      </c>
      <c r="BL119" s="238">
        <v>20.52</v>
      </c>
      <c r="BM119" s="238">
        <v>5410.87</v>
      </c>
      <c r="BN119" s="245">
        <f t="shared" si="153"/>
        <v>0</v>
      </c>
      <c r="BO119" s="238" t="s">
        <v>85</v>
      </c>
      <c r="BP119" s="238">
        <v>20.059999999999999</v>
      </c>
      <c r="BQ119" s="238">
        <v>4947.5</v>
      </c>
    </row>
    <row r="120" spans="1:76" ht="15" customHeight="1" x14ac:dyDescent="0.25">
      <c r="A120" s="245"/>
      <c r="B120" s="304"/>
      <c r="C120" s="304"/>
      <c r="D120" s="304"/>
      <c r="E120" s="304"/>
      <c r="F120" s="304"/>
      <c r="G120" s="304"/>
      <c r="H120" s="304"/>
      <c r="I120" s="304"/>
      <c r="J120" s="304"/>
      <c r="K120" s="304"/>
      <c r="L120" s="304"/>
      <c r="M120" s="304"/>
      <c r="N120" s="360"/>
      <c r="O120" s="304"/>
      <c r="P120" s="238" t="str">
        <f t="shared" si="157"/>
        <v>ACEJDMT PC</v>
      </c>
      <c r="R120" s="369" t="s">
        <v>181</v>
      </c>
      <c r="S120" s="370">
        <v>5.0999999999999996</v>
      </c>
      <c r="T120" s="371">
        <v>5738.88</v>
      </c>
      <c r="U120" s="266"/>
      <c r="V120" s="256" t="s">
        <v>181</v>
      </c>
      <c r="W120" s="256">
        <v>4.93</v>
      </c>
      <c r="X120" s="256">
        <v>5875.18</v>
      </c>
      <c r="Z120" s="266" t="s">
        <v>181</v>
      </c>
      <c r="AA120" s="266">
        <v>5.16</v>
      </c>
      <c r="AB120" s="238">
        <v>5626.62</v>
      </c>
      <c r="AD120" s="342"/>
      <c r="AK120" s="238">
        <f t="shared" si="158"/>
        <v>5.0999999999999996</v>
      </c>
      <c r="AL120" s="238" t="s">
        <v>181</v>
      </c>
      <c r="AM120" s="238">
        <v>5.0999999999999996</v>
      </c>
      <c r="AN120" s="238">
        <v>5701.7</v>
      </c>
      <c r="AO120" s="238">
        <f t="shared" si="159"/>
        <v>4.8</v>
      </c>
      <c r="AP120" s="243" t="s">
        <v>181</v>
      </c>
      <c r="AQ120" s="243">
        <v>4.8</v>
      </c>
      <c r="AR120" s="243">
        <v>5899.6</v>
      </c>
      <c r="AT120" s="244" t="s">
        <v>181</v>
      </c>
      <c r="AU120" s="244">
        <v>4.96</v>
      </c>
      <c r="AV120" s="238">
        <v>5676.25</v>
      </c>
      <c r="BF120" s="245" t="str">
        <f t="shared" si="156"/>
        <v>BRFQMT D24</v>
      </c>
      <c r="BG120" s="238" t="s">
        <v>86</v>
      </c>
      <c r="BH120" s="238">
        <v>5.75</v>
      </c>
      <c r="BI120" s="238">
        <v>5712.37</v>
      </c>
      <c r="BK120" s="238" t="s">
        <v>86</v>
      </c>
      <c r="BL120" s="238">
        <v>6</v>
      </c>
      <c r="BM120" s="238">
        <v>5410.87</v>
      </c>
      <c r="BN120" s="245">
        <f t="shared" si="153"/>
        <v>0</v>
      </c>
      <c r="BO120" s="238" t="s">
        <v>86</v>
      </c>
      <c r="BP120" s="238">
        <v>8.11</v>
      </c>
      <c r="BQ120" s="238">
        <v>4947.5</v>
      </c>
    </row>
    <row r="121" spans="1:76" ht="15" customHeight="1" x14ac:dyDescent="0.25">
      <c r="A121" s="245"/>
      <c r="B121" s="304"/>
      <c r="C121" s="304"/>
      <c r="D121" s="304"/>
      <c r="E121" s="304"/>
      <c r="F121" s="304"/>
      <c r="G121" s="304"/>
      <c r="H121" s="304"/>
      <c r="I121" s="304"/>
      <c r="J121" s="304"/>
      <c r="K121" s="304"/>
      <c r="L121" s="304"/>
      <c r="M121" s="304"/>
      <c r="N121" s="360"/>
      <c r="O121" s="304"/>
      <c r="P121" s="238" t="str">
        <f t="shared" si="157"/>
        <v>BIRCH CREEK</v>
      </c>
      <c r="R121" s="369" t="s">
        <v>153</v>
      </c>
      <c r="S121" s="370">
        <v>160.58000000000001</v>
      </c>
      <c r="T121" s="371">
        <v>5738.88</v>
      </c>
      <c r="U121" s="266"/>
      <c r="V121" s="256" t="s">
        <v>153</v>
      </c>
      <c r="W121" s="256">
        <v>177.52</v>
      </c>
      <c r="X121" s="256">
        <v>5875.18</v>
      </c>
      <c r="Z121" s="266" t="s">
        <v>153</v>
      </c>
      <c r="AA121" s="266">
        <v>178.58</v>
      </c>
      <c r="AB121" s="238">
        <v>5626.62</v>
      </c>
      <c r="AD121" s="342"/>
      <c r="AK121" s="238">
        <f t="shared" si="158"/>
        <v>173.58</v>
      </c>
      <c r="AL121" s="238" t="s">
        <v>153</v>
      </c>
      <c r="AM121" s="238">
        <v>173.58</v>
      </c>
      <c r="AN121" s="238">
        <v>5701.7</v>
      </c>
      <c r="AO121" s="238">
        <f t="shared" si="159"/>
        <v>164.95</v>
      </c>
      <c r="AP121" s="243" t="s">
        <v>153</v>
      </c>
      <c r="AQ121" s="243">
        <v>164.95</v>
      </c>
      <c r="AR121" s="243">
        <v>5899.6</v>
      </c>
      <c r="AT121" s="244" t="s">
        <v>153</v>
      </c>
      <c r="AU121" s="244">
        <v>161.66999999999999</v>
      </c>
      <c r="AV121" s="238">
        <v>5676.25</v>
      </c>
      <c r="BF121" s="245" t="str">
        <f t="shared" si="156"/>
        <v>BRFQMT PC</v>
      </c>
      <c r="BG121" s="238" t="s">
        <v>154</v>
      </c>
      <c r="BH121" s="238">
        <v>6.78</v>
      </c>
      <c r="BI121" s="238">
        <v>5712.37</v>
      </c>
      <c r="BK121" s="238" t="s">
        <v>154</v>
      </c>
      <c r="BL121" s="238">
        <v>7.05</v>
      </c>
      <c r="BM121" s="238">
        <v>5410.87</v>
      </c>
      <c r="BN121" s="245">
        <f t="shared" si="153"/>
        <v>0</v>
      </c>
      <c r="BO121" s="238" t="s">
        <v>154</v>
      </c>
      <c r="BP121" s="238">
        <v>6.14</v>
      </c>
      <c r="BQ121" s="238">
        <v>4947.5</v>
      </c>
    </row>
    <row r="122" spans="1:76" ht="15" customHeight="1" x14ac:dyDescent="0.25">
      <c r="A122" s="245"/>
      <c r="B122" s="304"/>
      <c r="C122" s="304"/>
      <c r="D122" s="304"/>
      <c r="E122" s="304"/>
      <c r="F122" s="304"/>
      <c r="G122" s="304"/>
      <c r="H122" s="304"/>
      <c r="I122" s="304"/>
      <c r="J122" s="304"/>
      <c r="K122" s="304"/>
      <c r="L122" s="304"/>
      <c r="M122" s="304"/>
      <c r="N122" s="360"/>
      <c r="O122" s="304"/>
      <c r="P122" s="238" t="str">
        <f t="shared" si="157"/>
        <v>BKSPUNT6MTPC</v>
      </c>
      <c r="R122" s="272" t="s">
        <v>223</v>
      </c>
      <c r="S122" s="370">
        <v>7.46</v>
      </c>
      <c r="T122" s="371">
        <v>5738.88</v>
      </c>
      <c r="U122" s="266"/>
      <c r="V122" s="272" t="str">
        <f>R122</f>
        <v>BKSPUNT6MTPC</v>
      </c>
      <c r="W122" s="256">
        <v>6.9</v>
      </c>
      <c r="X122" s="256">
        <v>5875.18</v>
      </c>
      <c r="Z122" s="272" t="str">
        <f>R122</f>
        <v>BKSPUNT6MTPC</v>
      </c>
      <c r="AA122" s="266">
        <v>4.0599999999999996</v>
      </c>
      <c r="AB122" s="238">
        <v>5626.62</v>
      </c>
      <c r="AD122" s="342"/>
      <c r="AK122" s="238">
        <f t="shared" si="158"/>
        <v>3.82</v>
      </c>
      <c r="AL122" s="272" t="s">
        <v>223</v>
      </c>
      <c r="AM122" s="238">
        <v>3.82</v>
      </c>
      <c r="AN122" s="238">
        <v>5701.7</v>
      </c>
      <c r="AO122" s="238">
        <f t="shared" si="159"/>
        <v>3.71</v>
      </c>
      <c r="AP122" s="272" t="s">
        <v>223</v>
      </c>
      <c r="AQ122" s="243">
        <v>3.71</v>
      </c>
      <c r="AR122" s="243">
        <v>5899.6</v>
      </c>
      <c r="AT122" s="272" t="s">
        <v>223</v>
      </c>
      <c r="AU122" s="244">
        <v>3.18</v>
      </c>
      <c r="AV122" s="238">
        <v>5676.25</v>
      </c>
      <c r="BF122" s="245" t="str">
        <f t="shared" si="156"/>
        <v>BRFW D24</v>
      </c>
      <c r="BG122" s="238" t="s">
        <v>87</v>
      </c>
      <c r="BH122" s="238">
        <v>76.349999999999994</v>
      </c>
      <c r="BI122" s="238">
        <v>5712.37</v>
      </c>
      <c r="BK122" s="238" t="s">
        <v>87</v>
      </c>
      <c r="BL122" s="238">
        <v>65.62</v>
      </c>
      <c r="BM122" s="238">
        <v>5410.87</v>
      </c>
      <c r="BN122" s="245">
        <f t="shared" si="153"/>
        <v>0</v>
      </c>
      <c r="BO122" s="238" t="s">
        <v>87</v>
      </c>
      <c r="BP122" s="238">
        <v>65.17</v>
      </c>
      <c r="BQ122" s="238">
        <v>4947.5</v>
      </c>
    </row>
    <row r="123" spans="1:76" ht="15" customHeight="1" x14ac:dyDescent="0.25">
      <c r="A123" s="245"/>
      <c r="B123" s="304"/>
      <c r="C123" s="304"/>
      <c r="D123" s="304"/>
      <c r="E123" s="304"/>
      <c r="F123" s="304"/>
      <c r="G123" s="304"/>
      <c r="H123" s="304"/>
      <c r="I123" s="304"/>
      <c r="J123" s="304"/>
      <c r="K123" s="304"/>
      <c r="L123" s="304"/>
      <c r="M123" s="304"/>
      <c r="N123" s="360"/>
      <c r="O123" s="304"/>
      <c r="P123" s="238" t="str">
        <f t="shared" si="157"/>
        <v>BRFM D24</v>
      </c>
      <c r="R123" s="369" t="s">
        <v>83</v>
      </c>
      <c r="S123" s="370">
        <v>2.79</v>
      </c>
      <c r="T123" s="371">
        <v>5738.88</v>
      </c>
      <c r="U123" s="266"/>
      <c r="V123" s="256" t="s">
        <v>83</v>
      </c>
      <c r="W123" s="256">
        <v>2.75</v>
      </c>
      <c r="X123" s="256">
        <v>5875.18</v>
      </c>
      <c r="Z123" s="266" t="s">
        <v>83</v>
      </c>
      <c r="AA123" s="266">
        <v>3.23</v>
      </c>
      <c r="AB123" s="238">
        <v>5626.62</v>
      </c>
      <c r="AD123" s="342"/>
      <c r="AK123" s="238">
        <f t="shared" si="158"/>
        <v>2.85</v>
      </c>
      <c r="AL123" s="238" t="s">
        <v>83</v>
      </c>
      <c r="AM123" s="238">
        <v>2.85</v>
      </c>
      <c r="AN123" s="238">
        <v>5701.7</v>
      </c>
      <c r="AO123" s="238">
        <f t="shared" si="159"/>
        <v>2.97</v>
      </c>
      <c r="AP123" s="243" t="s">
        <v>83</v>
      </c>
      <c r="AQ123" s="243">
        <v>2.97</v>
      </c>
      <c r="AR123" s="243">
        <v>5899.6</v>
      </c>
      <c r="AT123" s="244" t="s">
        <v>83</v>
      </c>
      <c r="AU123" s="244">
        <v>2.84</v>
      </c>
      <c r="AV123" s="238">
        <v>5676.25</v>
      </c>
      <c r="BF123" s="245" t="str">
        <f t="shared" si="156"/>
        <v>BRFW PC</v>
      </c>
      <c r="BG123" s="238" t="s">
        <v>88</v>
      </c>
      <c r="BH123" s="238">
        <v>11.26</v>
      </c>
      <c r="BI123" s="238">
        <v>5712.37</v>
      </c>
      <c r="BK123" s="238" t="s">
        <v>88</v>
      </c>
      <c r="BL123" s="238">
        <v>8.4700000000000006</v>
      </c>
      <c r="BM123" s="238">
        <v>5410.87</v>
      </c>
      <c r="BN123" s="245">
        <f t="shared" si="153"/>
        <v>0</v>
      </c>
      <c r="BO123" s="238" t="s">
        <v>88</v>
      </c>
      <c r="BP123" s="238">
        <v>9.1</v>
      </c>
      <c r="BQ123" s="238">
        <v>4947.5</v>
      </c>
    </row>
    <row r="124" spans="1:76" ht="15" customHeight="1" x14ac:dyDescent="0.25">
      <c r="A124" s="245"/>
      <c r="B124" s="304"/>
      <c r="C124" s="304"/>
      <c r="D124" s="304"/>
      <c r="E124" s="304"/>
      <c r="F124" s="304"/>
      <c r="G124" s="304"/>
      <c r="H124" s="304"/>
      <c r="I124" s="304"/>
      <c r="J124" s="304"/>
      <c r="K124" s="304"/>
      <c r="L124" s="304"/>
      <c r="M124" s="304"/>
      <c r="N124" s="360"/>
      <c r="O124" s="304"/>
      <c r="P124" s="238" t="str">
        <f t="shared" si="157"/>
        <v>BRFM PC</v>
      </c>
      <c r="R124" s="369" t="s">
        <v>170</v>
      </c>
      <c r="S124" s="370">
        <v>0.19</v>
      </c>
      <c r="T124" s="371">
        <v>5738.88</v>
      </c>
      <c r="V124" s="256" t="s">
        <v>170</v>
      </c>
      <c r="W124" s="256">
        <v>0.21</v>
      </c>
      <c r="X124" s="256">
        <v>5875.18</v>
      </c>
      <c r="Z124" s="266" t="s">
        <v>170</v>
      </c>
      <c r="AA124" s="266">
        <v>0.2</v>
      </c>
      <c r="AB124" s="238">
        <v>5626.62</v>
      </c>
      <c r="AD124" s="342"/>
      <c r="AK124" s="238">
        <f t="shared" si="158"/>
        <v>0.19</v>
      </c>
      <c r="AL124" s="238" t="s">
        <v>170</v>
      </c>
      <c r="AM124" s="238">
        <v>0.19</v>
      </c>
      <c r="AN124" s="238">
        <v>5701.7</v>
      </c>
      <c r="AO124" s="238">
        <f t="shared" si="159"/>
        <v>0.19</v>
      </c>
      <c r="AP124" s="243" t="s">
        <v>170</v>
      </c>
      <c r="AQ124" s="243">
        <v>0.19</v>
      </c>
      <c r="AR124" s="243">
        <v>5899.6</v>
      </c>
      <c r="AT124" s="244" t="s">
        <v>170</v>
      </c>
      <c r="AU124" s="244">
        <v>0.17</v>
      </c>
      <c r="AV124" s="238">
        <v>5676.25</v>
      </c>
      <c r="BF124" s="245" t="str">
        <f t="shared" si="156"/>
        <v>CBFR D24</v>
      </c>
      <c r="BG124" s="238" t="s">
        <v>89</v>
      </c>
      <c r="BH124" s="238">
        <v>21.79</v>
      </c>
      <c r="BI124" s="238">
        <v>5712.37</v>
      </c>
      <c r="BK124" s="238" t="s">
        <v>89</v>
      </c>
      <c r="BL124" s="238">
        <v>20.96</v>
      </c>
      <c r="BM124" s="238">
        <v>5410.87</v>
      </c>
      <c r="BN124" s="245">
        <f t="shared" si="153"/>
        <v>0</v>
      </c>
      <c r="BO124" s="238" t="s">
        <v>89</v>
      </c>
      <c r="BP124" s="238">
        <v>18.61</v>
      </c>
      <c r="BQ124" s="238">
        <v>4947.5</v>
      </c>
    </row>
    <row r="125" spans="1:76" ht="15" customHeight="1" x14ac:dyDescent="0.25">
      <c r="A125" s="245"/>
      <c r="B125" s="304"/>
      <c r="C125" s="304"/>
      <c r="D125" s="304"/>
      <c r="E125" s="304"/>
      <c r="F125" s="304"/>
      <c r="G125" s="304"/>
      <c r="H125" s="304"/>
      <c r="I125" s="304"/>
      <c r="J125" s="304"/>
      <c r="K125" s="304"/>
      <c r="L125" s="304"/>
      <c r="M125" s="304"/>
      <c r="N125" s="360"/>
      <c r="O125" s="304"/>
      <c r="P125" s="238" t="str">
        <f t="shared" si="157"/>
        <v>BRFQ D24</v>
      </c>
      <c r="R125" s="369" t="s">
        <v>84</v>
      </c>
      <c r="S125" s="370">
        <v>211.47</v>
      </c>
      <c r="T125" s="371">
        <v>5738.88</v>
      </c>
      <c r="U125" s="266"/>
      <c r="V125" s="256" t="s">
        <v>84</v>
      </c>
      <c r="W125" s="256">
        <v>210.33</v>
      </c>
      <c r="X125" s="256">
        <v>5875.18</v>
      </c>
      <c r="Z125" s="266" t="s">
        <v>84</v>
      </c>
      <c r="AA125" s="266">
        <v>213.66</v>
      </c>
      <c r="AB125" s="238">
        <v>5626.62</v>
      </c>
      <c r="AD125" s="342"/>
      <c r="AK125" s="238">
        <f t="shared" si="158"/>
        <v>204.24</v>
      </c>
      <c r="AL125" s="238" t="s">
        <v>84</v>
      </c>
      <c r="AM125" s="238">
        <v>204.24</v>
      </c>
      <c r="AN125" s="238">
        <v>5701.7</v>
      </c>
      <c r="AO125" s="238">
        <f t="shared" si="159"/>
        <v>196.31</v>
      </c>
      <c r="AP125" s="243" t="s">
        <v>84</v>
      </c>
      <c r="AQ125" s="243">
        <v>196.31</v>
      </c>
      <c r="AR125" s="243">
        <v>5899.6</v>
      </c>
      <c r="AT125" s="244" t="s">
        <v>84</v>
      </c>
      <c r="AU125" s="244">
        <v>188.36</v>
      </c>
      <c r="AV125" s="238">
        <v>5676.25</v>
      </c>
      <c r="BF125" s="245" t="str">
        <f t="shared" si="156"/>
        <v>CBFR PC</v>
      </c>
      <c r="BG125" s="238" t="s">
        <v>90</v>
      </c>
      <c r="BH125" s="238">
        <v>86.98</v>
      </c>
      <c r="BI125" s="238">
        <v>5712.37</v>
      </c>
      <c r="BK125" s="238" t="s">
        <v>90</v>
      </c>
      <c r="BL125" s="238">
        <v>82.47</v>
      </c>
      <c r="BM125" s="238">
        <v>5410.87</v>
      </c>
      <c r="BN125" s="245">
        <f t="shared" si="153"/>
        <v>0</v>
      </c>
      <c r="BO125" s="238" t="s">
        <v>90</v>
      </c>
      <c r="BP125" s="238">
        <v>75.3</v>
      </c>
      <c r="BQ125" s="238">
        <v>4947.5</v>
      </c>
    </row>
    <row r="126" spans="1:76" ht="15" customHeight="1" x14ac:dyDescent="0.25">
      <c r="A126" s="245"/>
      <c r="B126" s="304"/>
      <c r="C126" s="304"/>
      <c r="D126" s="304"/>
      <c r="E126" s="304"/>
      <c r="F126" s="304"/>
      <c r="G126" s="304"/>
      <c r="H126" s="304"/>
      <c r="I126" s="304"/>
      <c r="J126" s="304"/>
      <c r="K126" s="304"/>
      <c r="L126" s="304"/>
      <c r="M126" s="304"/>
      <c r="N126" s="360"/>
      <c r="O126" s="304"/>
      <c r="P126" s="238" t="str">
        <f t="shared" si="157"/>
        <v>BRFQ PC</v>
      </c>
      <c r="R126" s="369" t="s">
        <v>85</v>
      </c>
      <c r="S126" s="370">
        <v>25.57</v>
      </c>
      <c r="T126" s="371">
        <v>5738.88</v>
      </c>
      <c r="V126" s="256" t="s">
        <v>85</v>
      </c>
      <c r="W126" s="256">
        <v>26.18</v>
      </c>
      <c r="X126" s="256">
        <v>5875.18</v>
      </c>
      <c r="Z126" s="266" t="s">
        <v>85</v>
      </c>
      <c r="AA126" s="266">
        <v>24.69</v>
      </c>
      <c r="AB126" s="238">
        <v>5626.62</v>
      </c>
      <c r="AD126" s="342"/>
      <c r="AK126" s="238">
        <f t="shared" si="158"/>
        <v>23.2</v>
      </c>
      <c r="AL126" s="238" t="s">
        <v>85</v>
      </c>
      <c r="AM126" s="238">
        <v>23.2</v>
      </c>
      <c r="AN126" s="238">
        <v>5701.7</v>
      </c>
      <c r="AO126" s="238">
        <f t="shared" si="159"/>
        <v>25.05</v>
      </c>
      <c r="AP126" s="243" t="s">
        <v>85</v>
      </c>
      <c r="AQ126" s="243">
        <v>25.05</v>
      </c>
      <c r="AR126" s="243">
        <v>5899.6</v>
      </c>
      <c r="AT126" s="244" t="s">
        <v>85</v>
      </c>
      <c r="AU126" s="244">
        <v>21.08</v>
      </c>
      <c r="AV126" s="238">
        <v>5676.25</v>
      </c>
      <c r="BF126" s="245" t="str">
        <f t="shared" si="156"/>
        <v>CCRUNIT 2E</v>
      </c>
      <c r="BG126" s="238" t="s">
        <v>226</v>
      </c>
      <c r="BH126" s="238">
        <v>635.71</v>
      </c>
      <c r="BI126" s="238">
        <v>5712.37</v>
      </c>
      <c r="BK126" s="238" t="s">
        <v>226</v>
      </c>
      <c r="BL126" s="238">
        <v>613.37</v>
      </c>
      <c r="BM126" s="238">
        <v>5410.87</v>
      </c>
      <c r="BN126" s="245">
        <f t="shared" si="153"/>
        <v>0</v>
      </c>
      <c r="BO126" s="238" t="s">
        <v>226</v>
      </c>
      <c r="BP126" s="238">
        <v>565.25</v>
      </c>
      <c r="BQ126" s="238">
        <v>4947.5</v>
      </c>
    </row>
    <row r="127" spans="1:76" ht="15" customHeight="1" x14ac:dyDescent="0.25">
      <c r="A127" s="245"/>
      <c r="B127" s="304"/>
      <c r="C127" s="304"/>
      <c r="D127" s="304"/>
      <c r="E127" s="304"/>
      <c r="F127" s="304"/>
      <c r="G127" s="304"/>
      <c r="H127" s="304"/>
      <c r="I127" s="304"/>
      <c r="J127" s="304"/>
      <c r="K127" s="304"/>
      <c r="L127" s="304"/>
      <c r="M127" s="304"/>
      <c r="N127" s="360"/>
      <c r="O127" s="304"/>
      <c r="P127" s="238" t="str">
        <f t="shared" si="157"/>
        <v>BRFQMT D24</v>
      </c>
      <c r="R127" s="369" t="s">
        <v>86</v>
      </c>
      <c r="S127" s="370">
        <v>7.82</v>
      </c>
      <c r="T127" s="371">
        <v>5738.88</v>
      </c>
      <c r="V127" s="256" t="s">
        <v>86</v>
      </c>
      <c r="W127" s="256">
        <v>8.02</v>
      </c>
      <c r="X127" s="256">
        <v>5875.18</v>
      </c>
      <c r="Z127" s="266" t="s">
        <v>86</v>
      </c>
      <c r="AA127" s="266">
        <v>12.82</v>
      </c>
      <c r="AB127" s="238">
        <v>5626.62</v>
      </c>
      <c r="AK127" s="238">
        <f t="shared" si="158"/>
        <v>8.0399999999999991</v>
      </c>
      <c r="AL127" s="238" t="s">
        <v>86</v>
      </c>
      <c r="AM127" s="238">
        <v>8.0399999999999991</v>
      </c>
      <c r="AN127" s="238">
        <v>5701.7</v>
      </c>
      <c r="AO127" s="238">
        <f t="shared" si="159"/>
        <v>6.99</v>
      </c>
      <c r="AP127" s="243" t="s">
        <v>86</v>
      </c>
      <c r="AQ127" s="243">
        <v>6.99</v>
      </c>
      <c r="AR127" s="243">
        <v>5899.6</v>
      </c>
      <c r="AT127" s="244" t="s">
        <v>86</v>
      </c>
      <c r="AU127" s="244">
        <v>6.98</v>
      </c>
      <c r="AV127" s="238">
        <v>5676.25</v>
      </c>
      <c r="BF127" s="245" t="str">
        <f t="shared" si="156"/>
        <v>CCRUNIT D24</v>
      </c>
      <c r="BG127" s="238" t="s">
        <v>91</v>
      </c>
      <c r="BH127" s="238">
        <v>827.17</v>
      </c>
      <c r="BI127" s="238">
        <v>5712.37</v>
      </c>
      <c r="BK127" s="238" t="s">
        <v>91</v>
      </c>
      <c r="BL127" s="238">
        <v>786.93</v>
      </c>
      <c r="BM127" s="238">
        <v>5410.87</v>
      </c>
      <c r="BN127" s="245">
        <f t="shared" si="153"/>
        <v>0</v>
      </c>
      <c r="BO127" s="238" t="s">
        <v>91</v>
      </c>
      <c r="BP127" s="238">
        <v>730.86</v>
      </c>
      <c r="BQ127" s="238">
        <v>4947.5</v>
      </c>
    </row>
    <row r="128" spans="1:76" ht="15" customHeight="1" x14ac:dyDescent="0.25">
      <c r="A128" s="245"/>
      <c r="B128" s="304"/>
      <c r="C128" s="304"/>
      <c r="D128" s="304"/>
      <c r="E128" s="304"/>
      <c r="F128" s="304"/>
      <c r="G128" s="304"/>
      <c r="H128" s="304"/>
      <c r="I128" s="304"/>
      <c r="J128" s="304"/>
      <c r="K128" s="304"/>
      <c r="L128" s="304"/>
      <c r="M128" s="304"/>
      <c r="N128" s="360"/>
      <c r="O128" s="304"/>
      <c r="P128" s="238" t="str">
        <f t="shared" si="157"/>
        <v>BRFQMT PC</v>
      </c>
      <c r="R128" s="369" t="s">
        <v>154</v>
      </c>
      <c r="S128" s="370">
        <v>10.1</v>
      </c>
      <c r="T128" s="371">
        <v>5738.88</v>
      </c>
      <c r="V128" s="256" t="s">
        <v>154</v>
      </c>
      <c r="W128" s="256">
        <v>8.08</v>
      </c>
      <c r="X128" s="256">
        <v>5875.18</v>
      </c>
      <c r="Z128" s="266" t="s">
        <v>154</v>
      </c>
      <c r="AA128" s="266">
        <v>7.61</v>
      </c>
      <c r="AB128" s="238">
        <v>5626.62</v>
      </c>
      <c r="AK128" s="238">
        <f t="shared" si="158"/>
        <v>5.17</v>
      </c>
      <c r="AL128" s="238" t="s">
        <v>154</v>
      </c>
      <c r="AM128" s="238">
        <v>5.17</v>
      </c>
      <c r="AN128" s="238">
        <v>5701.7</v>
      </c>
      <c r="AO128" s="238">
        <f t="shared" si="159"/>
        <v>7.26</v>
      </c>
      <c r="AP128" s="243" t="s">
        <v>154</v>
      </c>
      <c r="AQ128" s="243">
        <v>7.26</v>
      </c>
      <c r="AR128" s="243">
        <v>5899.6</v>
      </c>
      <c r="AT128" s="244" t="s">
        <v>154</v>
      </c>
      <c r="AU128" s="244">
        <v>6.95</v>
      </c>
      <c r="AV128" s="238">
        <v>5676.25</v>
      </c>
      <c r="BF128" s="245" t="str">
        <f t="shared" si="156"/>
        <v>CCRUNIT PC</v>
      </c>
      <c r="BG128" s="238" t="s">
        <v>92</v>
      </c>
      <c r="BH128" s="238">
        <v>88.61</v>
      </c>
      <c r="BI128" s="238">
        <v>5712.37</v>
      </c>
      <c r="BK128" s="238" t="s">
        <v>92</v>
      </c>
      <c r="BL128" s="238">
        <v>81.709999999999994</v>
      </c>
      <c r="BM128" s="238">
        <v>5410.87</v>
      </c>
      <c r="BN128" s="245">
        <f t="shared" si="153"/>
        <v>0</v>
      </c>
      <c r="BO128" s="238" t="s">
        <v>92</v>
      </c>
      <c r="BP128" s="238">
        <v>70.05</v>
      </c>
      <c r="BQ128" s="238">
        <v>4947.5</v>
      </c>
    </row>
    <row r="129" spans="1:69" ht="15" customHeight="1" x14ac:dyDescent="0.25">
      <c r="A129" s="245"/>
      <c r="B129" s="304"/>
      <c r="C129" s="304"/>
      <c r="D129" s="304"/>
      <c r="E129" s="304"/>
      <c r="F129" s="304"/>
      <c r="G129" s="304"/>
      <c r="H129" s="304"/>
      <c r="I129" s="304"/>
      <c r="J129" s="304"/>
      <c r="K129" s="304"/>
      <c r="L129" s="304"/>
      <c r="M129" s="304"/>
      <c r="N129" s="356"/>
      <c r="O129" s="304"/>
      <c r="P129" s="238" t="str">
        <f t="shared" si="157"/>
        <v>BRFW D24</v>
      </c>
      <c r="R129" s="369" t="s">
        <v>87</v>
      </c>
      <c r="S129" s="370">
        <v>75.59</v>
      </c>
      <c r="T129" s="371">
        <v>5738.88</v>
      </c>
      <c r="V129" s="256" t="s">
        <v>87</v>
      </c>
      <c r="W129" s="256">
        <v>78.44</v>
      </c>
      <c r="X129" s="256">
        <v>5875.18</v>
      </c>
      <c r="Z129" s="266" t="s">
        <v>87</v>
      </c>
      <c r="AA129" s="266">
        <v>76.989999999999995</v>
      </c>
      <c r="AB129" s="238">
        <v>5626.62</v>
      </c>
      <c r="AK129" s="238">
        <f t="shared" si="158"/>
        <v>69.12</v>
      </c>
      <c r="AL129" s="238" t="s">
        <v>87</v>
      </c>
      <c r="AM129" s="238">
        <v>69.12</v>
      </c>
      <c r="AN129" s="238">
        <v>5701.7</v>
      </c>
      <c r="AO129" s="238">
        <f t="shared" si="159"/>
        <v>74.48</v>
      </c>
      <c r="AP129" s="243" t="s">
        <v>87</v>
      </c>
      <c r="AQ129" s="243">
        <v>74.48</v>
      </c>
      <c r="AR129" s="243">
        <v>5899.6</v>
      </c>
      <c r="AT129" s="244" t="s">
        <v>87</v>
      </c>
      <c r="AU129" s="244">
        <v>69.260000000000005</v>
      </c>
      <c r="AV129" s="238">
        <v>5676.25</v>
      </c>
      <c r="BF129" s="245" t="str">
        <f t="shared" si="156"/>
        <v>CCRUNITMT PC</v>
      </c>
      <c r="BG129" s="238" t="s">
        <v>155</v>
      </c>
      <c r="BH129" s="238">
        <v>21.08</v>
      </c>
      <c r="BI129" s="238">
        <v>5712.37</v>
      </c>
      <c r="BK129" s="238" t="s">
        <v>155</v>
      </c>
      <c r="BL129" s="238">
        <v>19.420000000000002</v>
      </c>
      <c r="BM129" s="238">
        <v>5410.87</v>
      </c>
      <c r="BN129" s="245">
        <f t="shared" si="153"/>
        <v>0</v>
      </c>
      <c r="BO129" s="238" t="s">
        <v>155</v>
      </c>
      <c r="BP129" s="238">
        <v>16.989999999999998</v>
      </c>
      <c r="BQ129" s="238">
        <v>4947.5</v>
      </c>
    </row>
    <row r="130" spans="1:69" ht="15" customHeight="1" x14ac:dyDescent="0.25">
      <c r="A130" s="245"/>
      <c r="B130" s="304"/>
      <c r="C130" s="304"/>
      <c r="D130" s="304"/>
      <c r="E130" s="304"/>
      <c r="F130" s="304"/>
      <c r="G130" s="304"/>
      <c r="H130" s="304"/>
      <c r="I130" s="304"/>
      <c r="J130" s="304"/>
      <c r="K130" s="304"/>
      <c r="L130" s="304"/>
      <c r="M130" s="304"/>
      <c r="N130" s="356"/>
      <c r="O130" s="304"/>
      <c r="P130" s="238" t="str">
        <f t="shared" si="157"/>
        <v>BRFW PC</v>
      </c>
      <c r="R130" s="369" t="s">
        <v>88</v>
      </c>
      <c r="S130" s="370">
        <v>11.62</v>
      </c>
      <c r="T130" s="371">
        <v>5738.88</v>
      </c>
      <c r="V130" s="256" t="s">
        <v>88</v>
      </c>
      <c r="W130" s="256">
        <v>12.27</v>
      </c>
      <c r="X130" s="256">
        <v>5875.18</v>
      </c>
      <c r="Z130" s="266" t="s">
        <v>88</v>
      </c>
      <c r="AA130" s="266">
        <v>11.9</v>
      </c>
      <c r="AB130" s="238">
        <v>5626.62</v>
      </c>
      <c r="AK130" s="238">
        <f t="shared" si="158"/>
        <v>10.77</v>
      </c>
      <c r="AL130" s="238" t="s">
        <v>88</v>
      </c>
      <c r="AM130" s="238">
        <v>10.77</v>
      </c>
      <c r="AN130" s="238">
        <v>5701.7</v>
      </c>
      <c r="AO130" s="238">
        <f t="shared" si="159"/>
        <v>11.44</v>
      </c>
      <c r="AP130" s="243" t="s">
        <v>88</v>
      </c>
      <c r="AQ130" s="243">
        <v>11.44</v>
      </c>
      <c r="AR130" s="243">
        <v>5899.6</v>
      </c>
      <c r="AT130" s="244" t="s">
        <v>88</v>
      </c>
      <c r="AU130" s="244">
        <v>10.7</v>
      </c>
      <c r="AV130" s="238">
        <v>5676.25</v>
      </c>
      <c r="BF130" s="245" t="str">
        <f t="shared" si="156"/>
        <v>CCRUNITMTD24</v>
      </c>
      <c r="BG130" s="238" t="s">
        <v>156</v>
      </c>
      <c r="BH130" s="238">
        <v>57.03</v>
      </c>
      <c r="BI130" s="238">
        <v>5712.37</v>
      </c>
      <c r="BK130" s="238" t="s">
        <v>156</v>
      </c>
      <c r="BL130" s="238">
        <v>56.94</v>
      </c>
      <c r="BM130" s="238">
        <v>5410.87</v>
      </c>
      <c r="BN130" s="245">
        <f t="shared" si="153"/>
        <v>0</v>
      </c>
      <c r="BO130" s="238" t="s">
        <v>156</v>
      </c>
      <c r="BP130" s="238">
        <v>53.62</v>
      </c>
      <c r="BQ130" s="238">
        <v>4947.5</v>
      </c>
    </row>
    <row r="131" spans="1:69" ht="15" customHeight="1" x14ac:dyDescent="0.25">
      <c r="A131" s="245"/>
      <c r="B131" s="304"/>
      <c r="C131" s="304"/>
      <c r="D131" s="304"/>
      <c r="E131" s="304"/>
      <c r="F131" s="304"/>
      <c r="G131" s="304"/>
      <c r="H131" s="304"/>
      <c r="I131" s="304"/>
      <c r="J131" s="304"/>
      <c r="K131" s="304"/>
      <c r="L131" s="304"/>
      <c r="M131" s="245"/>
      <c r="N131" s="360"/>
      <c r="O131" s="304"/>
      <c r="P131" s="238" t="str">
        <f t="shared" si="157"/>
        <v>CBFR D24</v>
      </c>
      <c r="R131" s="369" t="s">
        <v>89</v>
      </c>
      <c r="S131" s="370">
        <v>24.01</v>
      </c>
      <c r="T131" s="371">
        <v>5738.88</v>
      </c>
      <c r="V131" s="256" t="s">
        <v>89</v>
      </c>
      <c r="W131" s="256">
        <v>24.14</v>
      </c>
      <c r="X131" s="256">
        <v>5875.18</v>
      </c>
      <c r="Z131" s="266" t="s">
        <v>89</v>
      </c>
      <c r="AA131" s="266">
        <v>23.48</v>
      </c>
      <c r="AB131" s="238">
        <v>5626.62</v>
      </c>
      <c r="AK131" s="238">
        <f t="shared" si="158"/>
        <v>22.41</v>
      </c>
      <c r="AL131" s="238" t="s">
        <v>89</v>
      </c>
      <c r="AM131" s="238">
        <v>22.41</v>
      </c>
      <c r="AN131" s="238">
        <v>5701.7</v>
      </c>
      <c r="AO131" s="238">
        <f t="shared" si="159"/>
        <v>22.63</v>
      </c>
      <c r="AP131" s="243" t="s">
        <v>89</v>
      </c>
      <c r="AQ131" s="243">
        <v>22.63</v>
      </c>
      <c r="AR131" s="243">
        <v>5899.6</v>
      </c>
      <c r="AT131" s="244" t="s">
        <v>89</v>
      </c>
      <c r="AU131" s="244">
        <v>20.77</v>
      </c>
      <c r="AV131" s="238">
        <v>5676.25</v>
      </c>
      <c r="BF131" s="245" t="str">
        <f t="shared" si="156"/>
        <v>CCRUNIT MT 2E</v>
      </c>
      <c r="BG131" s="373" t="s">
        <v>257</v>
      </c>
      <c r="BH131" s="238">
        <v>32.479999999999997</v>
      </c>
      <c r="BI131" s="238">
        <v>5712.37</v>
      </c>
      <c r="BK131" s="238" t="s">
        <v>257</v>
      </c>
      <c r="BL131" s="238">
        <v>31.75</v>
      </c>
      <c r="BM131" s="238">
        <v>5410.87</v>
      </c>
      <c r="BN131" s="245">
        <f t="shared" si="153"/>
        <v>0</v>
      </c>
      <c r="BO131" s="238" t="s">
        <v>257</v>
      </c>
      <c r="BP131" s="238">
        <v>29.36</v>
      </c>
      <c r="BQ131" s="238">
        <v>4947.5</v>
      </c>
    </row>
    <row r="132" spans="1:69" ht="15" customHeight="1" x14ac:dyDescent="0.25">
      <c r="B132" s="250"/>
      <c r="C132" s="250"/>
      <c r="D132" s="250"/>
      <c r="E132" s="250"/>
      <c r="F132" s="250"/>
      <c r="G132" s="250"/>
      <c r="H132" s="250"/>
      <c r="I132" s="250"/>
      <c r="J132" s="250"/>
      <c r="K132" s="250"/>
      <c r="L132" s="250"/>
      <c r="N132" s="360"/>
      <c r="O132" s="304"/>
      <c r="P132" s="238" t="str">
        <f t="shared" si="157"/>
        <v>CBFR PC</v>
      </c>
      <c r="R132" s="369" t="s">
        <v>90</v>
      </c>
      <c r="S132" s="370">
        <v>92.95</v>
      </c>
      <c r="T132" s="371">
        <v>5738.88</v>
      </c>
      <c r="V132" s="256" t="s">
        <v>90</v>
      </c>
      <c r="W132" s="256">
        <v>92.61</v>
      </c>
      <c r="X132" s="256">
        <v>5875.18</v>
      </c>
      <c r="Z132" s="266" t="s">
        <v>90</v>
      </c>
      <c r="AA132" s="266">
        <v>92.01</v>
      </c>
      <c r="AB132" s="238">
        <v>5626.62</v>
      </c>
      <c r="AK132" s="238">
        <f t="shared" si="158"/>
        <v>88.3</v>
      </c>
      <c r="AL132" s="238" t="s">
        <v>90</v>
      </c>
      <c r="AM132" s="238">
        <v>88.3</v>
      </c>
      <c r="AN132" s="238">
        <v>5701.7</v>
      </c>
      <c r="AO132" s="238">
        <f t="shared" si="159"/>
        <v>89.03</v>
      </c>
      <c r="AP132" s="243" t="s">
        <v>90</v>
      </c>
      <c r="AQ132" s="243">
        <v>89.03</v>
      </c>
      <c r="AR132" s="243">
        <v>5899.6</v>
      </c>
      <c r="AT132" s="244" t="s">
        <v>90</v>
      </c>
      <c r="AU132" s="244">
        <v>84.56</v>
      </c>
      <c r="AV132" s="238">
        <v>5676.25</v>
      </c>
      <c r="BF132" s="245" t="str">
        <f t="shared" si="156"/>
        <v>CHBTBUFF D24</v>
      </c>
      <c r="BG132" s="238" t="s">
        <v>93</v>
      </c>
      <c r="BH132" s="238">
        <v>1</v>
      </c>
      <c r="BI132" s="238">
        <v>5712.37</v>
      </c>
      <c r="BK132" s="238" t="s">
        <v>93</v>
      </c>
      <c r="BL132" s="238">
        <v>0.89</v>
      </c>
      <c r="BM132" s="238">
        <v>5410.87</v>
      </c>
      <c r="BN132" s="245">
        <f t="shared" si="153"/>
        <v>0</v>
      </c>
      <c r="BO132" s="238" t="s">
        <v>93</v>
      </c>
      <c r="BP132" s="238">
        <v>0.75</v>
      </c>
      <c r="BQ132" s="238">
        <v>4947.5</v>
      </c>
    </row>
    <row r="133" spans="1:69" ht="15" customHeight="1" x14ac:dyDescent="0.25">
      <c r="B133" s="250"/>
      <c r="C133" s="250"/>
      <c r="D133" s="250"/>
      <c r="E133" s="250"/>
      <c r="F133" s="250"/>
      <c r="G133" s="250"/>
      <c r="H133" s="250"/>
      <c r="I133" s="250"/>
      <c r="J133" s="250"/>
      <c r="K133" s="250"/>
      <c r="L133" s="250"/>
      <c r="O133" s="374"/>
      <c r="P133" s="238" t="str">
        <f t="shared" si="157"/>
        <v>CCRUNIT 2E</v>
      </c>
      <c r="R133" s="369" t="s">
        <v>226</v>
      </c>
      <c r="S133" s="370">
        <v>413.7</v>
      </c>
      <c r="T133" s="371">
        <v>5738.88</v>
      </c>
      <c r="V133" s="256" t="s">
        <v>226</v>
      </c>
      <c r="W133" s="256">
        <v>430.79</v>
      </c>
      <c r="X133" s="256">
        <v>5875.18</v>
      </c>
      <c r="Z133" s="266" t="s">
        <v>226</v>
      </c>
      <c r="AA133" s="266">
        <v>423.15</v>
      </c>
      <c r="AB133" s="238">
        <v>5626.62</v>
      </c>
      <c r="AK133" s="238">
        <f t="shared" si="158"/>
        <v>400.81</v>
      </c>
      <c r="AL133" s="238" t="s">
        <v>226</v>
      </c>
      <c r="AM133" s="238">
        <v>400.81</v>
      </c>
      <c r="AN133" s="238">
        <v>5701.7</v>
      </c>
      <c r="AO133" s="238">
        <f t="shared" si="159"/>
        <v>417.3</v>
      </c>
      <c r="AP133" s="243" t="s">
        <v>226</v>
      </c>
      <c r="AQ133" s="243">
        <v>417.3</v>
      </c>
      <c r="AR133" s="243">
        <v>5899.6</v>
      </c>
      <c r="AT133" s="244" t="s">
        <v>226</v>
      </c>
      <c r="AU133" s="244">
        <v>517.99</v>
      </c>
      <c r="AV133" s="238">
        <v>5676.25</v>
      </c>
      <c r="BF133" s="245" t="str">
        <f t="shared" si="156"/>
        <v>CHBTC1 MT PC</v>
      </c>
      <c r="BG133" s="238" t="s">
        <v>182</v>
      </c>
      <c r="BH133" s="238">
        <v>4.34</v>
      </c>
      <c r="BI133" s="238">
        <v>5712.37</v>
      </c>
      <c r="BK133" s="238" t="s">
        <v>182</v>
      </c>
      <c r="BL133" s="238">
        <v>4.67</v>
      </c>
      <c r="BM133" s="238">
        <v>5410.87</v>
      </c>
      <c r="BN133" s="245">
        <f t="shared" si="153"/>
        <v>0</v>
      </c>
      <c r="BO133" s="238" t="s">
        <v>182</v>
      </c>
      <c r="BP133" s="238">
        <v>3.54</v>
      </c>
      <c r="BQ133" s="238">
        <v>4947.5</v>
      </c>
    </row>
    <row r="134" spans="1:69" ht="15" customHeight="1" x14ac:dyDescent="0.25">
      <c r="B134" s="250"/>
      <c r="C134" s="250"/>
      <c r="D134" s="250"/>
      <c r="E134" s="250"/>
      <c r="F134" s="250"/>
      <c r="G134" s="250"/>
      <c r="H134" s="250"/>
      <c r="I134" s="250"/>
      <c r="J134" s="250"/>
      <c r="K134" s="250"/>
      <c r="L134" s="250"/>
      <c r="N134" s="356"/>
      <c r="O134" s="245"/>
      <c r="P134" s="238" t="str">
        <f t="shared" si="157"/>
        <v>CCRUNIT D24</v>
      </c>
      <c r="R134" s="369" t="s">
        <v>91</v>
      </c>
      <c r="S134" s="370">
        <v>909.43</v>
      </c>
      <c r="T134" s="371">
        <v>5738.88</v>
      </c>
      <c r="V134" s="256" t="s">
        <v>91</v>
      </c>
      <c r="W134" s="256">
        <v>946.27</v>
      </c>
      <c r="X134" s="256">
        <v>5875.18</v>
      </c>
      <c r="Z134" s="266" t="s">
        <v>91</v>
      </c>
      <c r="AA134" s="266">
        <v>930.69</v>
      </c>
      <c r="AB134" s="238">
        <v>5626.62</v>
      </c>
      <c r="AK134" s="238">
        <f t="shared" si="158"/>
        <v>879.35</v>
      </c>
      <c r="AL134" s="238" t="s">
        <v>91</v>
      </c>
      <c r="AM134" s="238">
        <v>879.35</v>
      </c>
      <c r="AN134" s="238">
        <v>5701.7</v>
      </c>
      <c r="AO134" s="238">
        <f t="shared" si="159"/>
        <v>908.52</v>
      </c>
      <c r="AP134" s="243" t="s">
        <v>91</v>
      </c>
      <c r="AQ134" s="243">
        <v>908.52</v>
      </c>
      <c r="AR134" s="243">
        <v>5899.6</v>
      </c>
      <c r="AT134" s="244" t="s">
        <v>91</v>
      </c>
      <c r="AU134" s="244">
        <v>836.85</v>
      </c>
      <c r="AV134" s="238">
        <v>5676.25</v>
      </c>
      <c r="BF134" s="245" t="str">
        <f t="shared" si="156"/>
        <v>CHBTCAT1 PC</v>
      </c>
      <c r="BG134" s="238" t="s">
        <v>95</v>
      </c>
      <c r="BH134" s="238">
        <v>55.44</v>
      </c>
      <c r="BI134" s="238">
        <v>5712.37</v>
      </c>
      <c r="BK134" s="238" t="s">
        <v>95</v>
      </c>
      <c r="BL134" s="238">
        <v>46.46</v>
      </c>
      <c r="BM134" s="238">
        <v>5410.87</v>
      </c>
      <c r="BN134" s="245">
        <f t="shared" si="153"/>
        <v>0</v>
      </c>
      <c r="BO134" s="238" t="s">
        <v>95</v>
      </c>
      <c r="BP134" s="238">
        <v>45.43</v>
      </c>
      <c r="BQ134" s="238">
        <v>4947.5</v>
      </c>
    </row>
    <row r="135" spans="1:69" ht="15" customHeight="1" x14ac:dyDescent="0.25">
      <c r="N135" s="356"/>
      <c r="O135" s="245"/>
      <c r="P135" s="238" t="str">
        <f t="shared" si="157"/>
        <v>CCRUNIT PC</v>
      </c>
      <c r="R135" s="369" t="s">
        <v>92</v>
      </c>
      <c r="S135" s="370">
        <v>82.97</v>
      </c>
      <c r="T135" s="371">
        <v>5738.88</v>
      </c>
      <c r="V135" s="256" t="s">
        <v>92</v>
      </c>
      <c r="W135" s="256">
        <v>86.75</v>
      </c>
      <c r="X135" s="256">
        <v>5875.18</v>
      </c>
      <c r="Z135" s="266" t="s">
        <v>92</v>
      </c>
      <c r="AA135" s="266">
        <v>84.46</v>
      </c>
      <c r="AB135" s="238">
        <v>5626.62</v>
      </c>
      <c r="AK135" s="238">
        <f t="shared" si="158"/>
        <v>82.72</v>
      </c>
      <c r="AL135" s="238" t="s">
        <v>92</v>
      </c>
      <c r="AM135" s="238">
        <v>82.72</v>
      </c>
      <c r="AN135" s="238">
        <v>5701.7</v>
      </c>
      <c r="AO135" s="238">
        <f t="shared" si="159"/>
        <v>92.6</v>
      </c>
      <c r="AP135" s="243" t="s">
        <v>92</v>
      </c>
      <c r="AQ135" s="243">
        <v>92.6</v>
      </c>
      <c r="AR135" s="243">
        <v>5899.6</v>
      </c>
      <c r="AT135" s="244" t="s">
        <v>92</v>
      </c>
      <c r="AU135" s="244">
        <v>83.23</v>
      </c>
      <c r="AV135" s="238">
        <v>5676.25</v>
      </c>
      <c r="BF135" s="245" t="str">
        <f t="shared" si="156"/>
        <v>CHBTCAT2 D24</v>
      </c>
      <c r="BG135" s="238" t="s">
        <v>96</v>
      </c>
      <c r="BH135" s="238">
        <v>131.99</v>
      </c>
      <c r="BI135" s="238">
        <v>5712.37</v>
      </c>
      <c r="BK135" s="238" t="s">
        <v>96</v>
      </c>
      <c r="BL135" s="238">
        <v>127.32</v>
      </c>
      <c r="BM135" s="238">
        <v>5410.87</v>
      </c>
      <c r="BN135" s="245">
        <f t="shared" si="153"/>
        <v>0</v>
      </c>
      <c r="BO135" s="238" t="s">
        <v>96</v>
      </c>
      <c r="BP135" s="238">
        <v>113.34</v>
      </c>
      <c r="BQ135" s="238">
        <v>4947.5</v>
      </c>
    </row>
    <row r="136" spans="1:69" ht="15" customHeight="1" x14ac:dyDescent="0.25">
      <c r="N136" s="304"/>
      <c r="O136" s="245"/>
      <c r="P136" s="238" t="str">
        <f t="shared" si="157"/>
        <v>CCRUNITMT PC</v>
      </c>
      <c r="R136" s="369" t="s">
        <v>155</v>
      </c>
      <c r="S136" s="370">
        <v>12.43</v>
      </c>
      <c r="T136" s="371">
        <v>5738.88</v>
      </c>
      <c r="V136" s="256" t="s">
        <v>155</v>
      </c>
      <c r="W136" s="256">
        <v>12.61</v>
      </c>
      <c r="X136" s="256">
        <v>5875.18</v>
      </c>
      <c r="Z136" s="266" t="s">
        <v>155</v>
      </c>
      <c r="AA136" s="266">
        <v>13.92</v>
      </c>
      <c r="AB136" s="238">
        <v>5626.62</v>
      </c>
      <c r="AK136" s="238">
        <f t="shared" si="158"/>
        <v>19.68</v>
      </c>
      <c r="AL136" s="238" t="s">
        <v>155</v>
      </c>
      <c r="AM136" s="238">
        <v>19.68</v>
      </c>
      <c r="AN136" s="238">
        <v>5701.7</v>
      </c>
      <c r="AO136" s="238">
        <f t="shared" si="159"/>
        <v>20.65</v>
      </c>
      <c r="AP136" s="243" t="s">
        <v>155</v>
      </c>
      <c r="AQ136" s="243">
        <v>20.65</v>
      </c>
      <c r="AR136" s="243">
        <v>5899.6</v>
      </c>
      <c r="AT136" s="244" t="s">
        <v>155</v>
      </c>
      <c r="AU136" s="244">
        <v>20.54</v>
      </c>
      <c r="AV136" s="238">
        <v>5676.25</v>
      </c>
      <c r="BF136" s="245" t="str">
        <f t="shared" si="156"/>
        <v>CHBTCAT2 PC</v>
      </c>
      <c r="BG136" s="238" t="s">
        <v>97</v>
      </c>
      <c r="BH136" s="238">
        <v>0.64</v>
      </c>
      <c r="BI136" s="238">
        <v>5712.37</v>
      </c>
      <c r="BK136" s="238" t="s">
        <v>97</v>
      </c>
      <c r="BL136" s="238">
        <v>0.67</v>
      </c>
      <c r="BM136" s="238">
        <v>5410.87</v>
      </c>
      <c r="BN136" s="245">
        <f t="shared" si="153"/>
        <v>0</v>
      </c>
      <c r="BO136" s="238" t="s">
        <v>97</v>
      </c>
      <c r="BP136" s="238">
        <v>0.47</v>
      </c>
      <c r="BQ136" s="238">
        <v>4947.5</v>
      </c>
    </row>
    <row r="137" spans="1:69" ht="15" customHeight="1" x14ac:dyDescent="0.25">
      <c r="N137" s="304"/>
      <c r="O137" s="245"/>
      <c r="P137" s="238" t="str">
        <f t="shared" si="157"/>
        <v>CCRUNITMTD24</v>
      </c>
      <c r="R137" s="369" t="s">
        <v>156</v>
      </c>
      <c r="S137" s="370">
        <v>72.42</v>
      </c>
      <c r="T137" s="371">
        <v>5738.88</v>
      </c>
      <c r="V137" s="256" t="s">
        <v>156</v>
      </c>
      <c r="W137" s="256">
        <v>70.849999999999994</v>
      </c>
      <c r="X137" s="256">
        <v>5875.18</v>
      </c>
      <c r="Z137" s="266" t="s">
        <v>156</v>
      </c>
      <c r="AA137" s="266">
        <v>69.989999999999995</v>
      </c>
      <c r="AB137" s="238">
        <v>5626.62</v>
      </c>
      <c r="AK137" s="238">
        <f t="shared" si="158"/>
        <v>64.39</v>
      </c>
      <c r="AL137" s="238" t="s">
        <v>156</v>
      </c>
      <c r="AM137" s="238">
        <v>64.39</v>
      </c>
      <c r="AN137" s="238">
        <v>5701.7</v>
      </c>
      <c r="AO137" s="238">
        <f t="shared" si="159"/>
        <v>65.930000000000007</v>
      </c>
      <c r="AP137" s="243" t="s">
        <v>156</v>
      </c>
      <c r="AQ137" s="243">
        <v>65.930000000000007</v>
      </c>
      <c r="AR137" s="243">
        <v>5899.6</v>
      </c>
      <c r="AT137" s="244" t="s">
        <v>156</v>
      </c>
      <c r="AU137" s="244">
        <v>63.97</v>
      </c>
      <c r="AV137" s="238">
        <v>5676.25</v>
      </c>
      <c r="BF137" s="245" t="str">
        <f t="shared" si="156"/>
        <v>CHBTCAT3 D24</v>
      </c>
      <c r="BG137" s="238" t="s">
        <v>98</v>
      </c>
      <c r="BH137" s="238">
        <v>191.75</v>
      </c>
      <c r="BI137" s="238">
        <v>5712.37</v>
      </c>
      <c r="BK137" s="238" t="s">
        <v>98</v>
      </c>
      <c r="BL137" s="238">
        <v>180.37</v>
      </c>
      <c r="BM137" s="238">
        <v>5410.87</v>
      </c>
      <c r="BN137" s="245">
        <f t="shared" si="153"/>
        <v>0</v>
      </c>
      <c r="BO137" s="238" t="s">
        <v>98</v>
      </c>
      <c r="BP137" s="238">
        <v>163.84</v>
      </c>
      <c r="BQ137" s="238">
        <v>4947.5</v>
      </c>
    </row>
    <row r="138" spans="1:69" ht="15" customHeight="1" x14ac:dyDescent="0.25">
      <c r="N138" s="304"/>
      <c r="O138" s="245"/>
      <c r="P138" s="238" t="str">
        <f t="shared" si="157"/>
        <v>CCRUNIT MT 2E</v>
      </c>
      <c r="R138" s="272" t="s">
        <v>257</v>
      </c>
      <c r="S138" s="370">
        <v>35.28</v>
      </c>
      <c r="T138" s="371">
        <v>5738.88</v>
      </c>
      <c r="V138" s="272" t="str">
        <f>R138</f>
        <v>CCRUNIT MT 2E</v>
      </c>
      <c r="W138" s="256">
        <v>34.700000000000003</v>
      </c>
      <c r="X138" s="256">
        <v>5875.18</v>
      </c>
      <c r="Z138" s="272" t="str">
        <f>R138</f>
        <v>CCRUNIT MT 2E</v>
      </c>
      <c r="AA138" s="266">
        <v>34.9</v>
      </c>
      <c r="AB138" s="238">
        <v>5626.62</v>
      </c>
      <c r="AK138" s="238">
        <f t="shared" si="158"/>
        <v>34.950000000000003</v>
      </c>
      <c r="AL138" s="373" t="s">
        <v>257</v>
      </c>
      <c r="AM138" s="238">
        <v>34.950000000000003</v>
      </c>
      <c r="AN138" s="238">
        <v>5701.7</v>
      </c>
      <c r="AO138" s="238">
        <f t="shared" si="159"/>
        <v>36</v>
      </c>
      <c r="AP138" s="373" t="s">
        <v>257</v>
      </c>
      <c r="AQ138" s="243">
        <v>36</v>
      </c>
      <c r="AR138" s="243">
        <v>5899.6</v>
      </c>
      <c r="AT138" s="373" t="s">
        <v>257</v>
      </c>
      <c r="AU138" s="244">
        <v>35.14</v>
      </c>
      <c r="AV138" s="238">
        <v>5676.25</v>
      </c>
      <c r="BF138" s="245" t="str">
        <f t="shared" si="156"/>
        <v>DRYPINY6 D24</v>
      </c>
      <c r="BG138" s="238" t="s">
        <v>99</v>
      </c>
      <c r="BH138" s="238">
        <v>1.67</v>
      </c>
      <c r="BI138" s="238">
        <v>5712.37</v>
      </c>
      <c r="BK138" s="238" t="s">
        <v>99</v>
      </c>
      <c r="BL138" s="238">
        <v>1.83</v>
      </c>
      <c r="BM138" s="238">
        <v>5410.87</v>
      </c>
      <c r="BN138" s="245">
        <f>VLOOKUP(BK141,$BK$6:$BL$109,2,FALSE)-BL141</f>
        <v>0</v>
      </c>
      <c r="BO138" s="238" t="s">
        <v>99</v>
      </c>
      <c r="BP138" s="238">
        <v>0.64</v>
      </c>
      <c r="BQ138" s="238">
        <v>4947.5</v>
      </c>
    </row>
    <row r="139" spans="1:69" ht="15" customHeight="1" x14ac:dyDescent="0.25">
      <c r="N139" s="304"/>
      <c r="O139" s="245"/>
      <c r="P139" s="238" t="str">
        <f t="shared" si="157"/>
        <v>CHBTBUFF D24</v>
      </c>
      <c r="R139" s="369" t="s">
        <v>93</v>
      </c>
      <c r="S139" s="370">
        <v>1.05</v>
      </c>
      <c r="T139" s="371">
        <v>5738.88</v>
      </c>
      <c r="V139" s="256" t="s">
        <v>93</v>
      </c>
      <c r="W139" s="256">
        <v>1.1100000000000001</v>
      </c>
      <c r="X139" s="256">
        <v>5875.18</v>
      </c>
      <c r="Z139" s="266" t="s">
        <v>93</v>
      </c>
      <c r="AA139" s="266">
        <v>1.1200000000000001</v>
      </c>
      <c r="AB139" s="238">
        <v>5626.62</v>
      </c>
      <c r="AK139" s="238">
        <f t="shared" si="158"/>
        <v>0.82</v>
      </c>
      <c r="AL139" s="238" t="s">
        <v>93</v>
      </c>
      <c r="AM139" s="238">
        <v>0.82</v>
      </c>
      <c r="AN139" s="238">
        <v>5701.7</v>
      </c>
      <c r="AO139" s="238">
        <f t="shared" si="159"/>
        <v>0.91</v>
      </c>
      <c r="AP139" s="243" t="s">
        <v>93</v>
      </c>
      <c r="AQ139" s="243">
        <v>0.91</v>
      </c>
      <c r="AR139" s="243">
        <v>5899.6</v>
      </c>
      <c r="AT139" s="244" t="s">
        <v>93</v>
      </c>
      <c r="AU139" s="244">
        <v>1.08</v>
      </c>
      <c r="AV139" s="238">
        <v>5676.25</v>
      </c>
      <c r="BF139" s="245" t="str">
        <f t="shared" si="156"/>
        <v>DRYPINY6 PC</v>
      </c>
      <c r="BG139" s="238" t="s">
        <v>100</v>
      </c>
      <c r="BH139" s="238">
        <v>1.08</v>
      </c>
      <c r="BI139" s="238">
        <v>5712.37</v>
      </c>
      <c r="BK139" s="238" t="s">
        <v>100</v>
      </c>
      <c r="BL139" s="238">
        <v>1.28</v>
      </c>
      <c r="BM139" s="238">
        <v>5410.87</v>
      </c>
      <c r="BN139" s="245">
        <f>VLOOKUP(BK142,$BK$6:$BL$109,2,FALSE)-BL142</f>
        <v>0</v>
      </c>
      <c r="BO139" s="238" t="s">
        <v>100</v>
      </c>
      <c r="BP139" s="238">
        <v>1.03</v>
      </c>
      <c r="BQ139" s="238">
        <v>4947.5</v>
      </c>
    </row>
    <row r="140" spans="1:69" ht="15" customHeight="1" x14ac:dyDescent="0.25">
      <c r="N140" s="304"/>
      <c r="O140" s="245"/>
      <c r="P140" s="238" t="str">
        <f t="shared" si="157"/>
        <v>CHBTC1 MT PC</v>
      </c>
      <c r="R140" s="369" t="s">
        <v>182</v>
      </c>
      <c r="S140" s="370">
        <v>4.59</v>
      </c>
      <c r="T140" s="371">
        <v>5738.88</v>
      </c>
      <c r="V140" s="256" t="s">
        <v>182</v>
      </c>
      <c r="W140" s="256">
        <v>4.34</v>
      </c>
      <c r="X140" s="256">
        <v>5875.18</v>
      </c>
      <c r="Z140" s="266" t="s">
        <v>182</v>
      </c>
      <c r="AA140" s="266">
        <v>4.84</v>
      </c>
      <c r="AB140" s="238">
        <v>5626.62</v>
      </c>
      <c r="AK140" s="238">
        <f t="shared" si="158"/>
        <v>3.83</v>
      </c>
      <c r="AL140" s="238" t="s">
        <v>182</v>
      </c>
      <c r="AM140" s="238">
        <v>3.83</v>
      </c>
      <c r="AN140" s="238">
        <v>5701.7</v>
      </c>
      <c r="AO140" s="238">
        <f t="shared" si="159"/>
        <v>3.84</v>
      </c>
      <c r="AP140" s="243" t="s">
        <v>182</v>
      </c>
      <c r="AQ140" s="243">
        <v>3.84</v>
      </c>
      <c r="AR140" s="243">
        <v>5899.6</v>
      </c>
      <c r="AT140" s="244" t="s">
        <v>182</v>
      </c>
      <c r="AU140" s="244">
        <v>4.45</v>
      </c>
      <c r="AV140" s="238">
        <v>5676.25</v>
      </c>
      <c r="BF140" s="245" t="str">
        <f t="shared" si="156"/>
        <v>DRYPINYU D24</v>
      </c>
      <c r="BG140" s="238" t="s">
        <v>101</v>
      </c>
      <c r="BH140" s="238">
        <v>7.42</v>
      </c>
      <c r="BI140" s="238">
        <v>5712.37</v>
      </c>
      <c r="BK140" s="238" t="s">
        <v>101</v>
      </c>
      <c r="BL140" s="238">
        <v>8.01</v>
      </c>
      <c r="BM140" s="238">
        <v>5410.87</v>
      </c>
      <c r="BO140" s="238" t="s">
        <v>101</v>
      </c>
      <c r="BP140" s="238">
        <v>7.8</v>
      </c>
      <c r="BQ140" s="238">
        <v>4947.5</v>
      </c>
    </row>
    <row r="141" spans="1:69" ht="15" customHeight="1" x14ac:dyDescent="0.25">
      <c r="N141" s="304"/>
      <c r="O141" s="245"/>
      <c r="P141" s="238" t="str">
        <f t="shared" si="157"/>
        <v>CHBTCAT1 PC</v>
      </c>
      <c r="R141" s="369" t="s">
        <v>95</v>
      </c>
      <c r="S141" s="370">
        <v>47.87</v>
      </c>
      <c r="T141" s="371">
        <v>5738.88</v>
      </c>
      <c r="V141" s="256" t="s">
        <v>95</v>
      </c>
      <c r="W141" s="256">
        <v>51.68</v>
      </c>
      <c r="X141" s="256">
        <v>5875.18</v>
      </c>
      <c r="Z141" s="266" t="s">
        <v>95</v>
      </c>
      <c r="AA141" s="266">
        <v>50.41</v>
      </c>
      <c r="AB141" s="238">
        <v>5626.62</v>
      </c>
      <c r="AK141" s="238">
        <f t="shared" si="158"/>
        <v>36.340000000000003</v>
      </c>
      <c r="AL141" s="238" t="s">
        <v>95</v>
      </c>
      <c r="AM141" s="238">
        <v>36.340000000000003</v>
      </c>
      <c r="AN141" s="238">
        <v>5701.7</v>
      </c>
      <c r="AO141" s="238">
        <f t="shared" si="159"/>
        <v>29.81</v>
      </c>
      <c r="AP141" s="243" t="s">
        <v>95</v>
      </c>
      <c r="AQ141" s="243">
        <v>29.81</v>
      </c>
      <c r="AR141" s="243">
        <v>5899.6</v>
      </c>
      <c r="AT141" s="244" t="s">
        <v>95</v>
      </c>
      <c r="AU141" s="244">
        <v>38.270000000000003</v>
      </c>
      <c r="AV141" s="238">
        <v>5676.25</v>
      </c>
      <c r="BF141" s="245" t="str">
        <f t="shared" si="156"/>
        <v>DRYPINYU PC</v>
      </c>
      <c r="BG141" s="238" t="s">
        <v>102</v>
      </c>
      <c r="BH141" s="238">
        <v>12.44</v>
      </c>
      <c r="BI141" s="238">
        <v>5712.37</v>
      </c>
      <c r="BK141" s="238" t="s">
        <v>102</v>
      </c>
      <c r="BL141" s="238">
        <v>10.4</v>
      </c>
      <c r="BM141" s="238">
        <v>5410.87</v>
      </c>
      <c r="BN141" s="245">
        <f t="shared" ref="BN141:BN152" si="160">VLOOKUP(BK143,$BK$6:$BL$109,2,FALSE)-BL143</f>
        <v>0</v>
      </c>
      <c r="BO141" s="238" t="s">
        <v>102</v>
      </c>
      <c r="BP141" s="238">
        <v>12.07</v>
      </c>
      <c r="BQ141" s="238">
        <v>4947.5</v>
      </c>
    </row>
    <row r="142" spans="1:69" ht="15" customHeight="1" x14ac:dyDescent="0.25">
      <c r="N142" s="304"/>
      <c r="O142" s="245"/>
      <c r="P142" s="238" t="str">
        <f t="shared" si="157"/>
        <v>CHBTCAT2 D24</v>
      </c>
      <c r="R142" s="369" t="s">
        <v>96</v>
      </c>
      <c r="S142" s="370">
        <v>151.69999999999999</v>
      </c>
      <c r="T142" s="371">
        <v>5738.88</v>
      </c>
      <c r="V142" s="256" t="s">
        <v>96</v>
      </c>
      <c r="W142" s="256">
        <v>145.74</v>
      </c>
      <c r="X142" s="256">
        <v>5875.18</v>
      </c>
      <c r="Z142" s="266" t="s">
        <v>96</v>
      </c>
      <c r="AA142" s="266">
        <v>147.81</v>
      </c>
      <c r="AB142" s="238">
        <v>5626.62</v>
      </c>
      <c r="AK142" s="238">
        <f t="shared" si="158"/>
        <v>114.85</v>
      </c>
      <c r="AL142" s="238" t="s">
        <v>96</v>
      </c>
      <c r="AM142" s="238">
        <v>114.85</v>
      </c>
      <c r="AN142" s="238">
        <v>5701.7</v>
      </c>
      <c r="AO142" s="238">
        <f t="shared" si="159"/>
        <v>106.23</v>
      </c>
      <c r="AP142" s="243" t="s">
        <v>96</v>
      </c>
      <c r="AQ142" s="243">
        <v>106.23</v>
      </c>
      <c r="AR142" s="243">
        <v>5899.6</v>
      </c>
      <c r="AT142" s="244" t="s">
        <v>96</v>
      </c>
      <c r="AU142" s="244">
        <v>134.55000000000001</v>
      </c>
      <c r="AV142" s="238">
        <v>5676.25</v>
      </c>
      <c r="BF142" s="245" t="str">
        <f t="shared" si="156"/>
        <v>FOGARTY PC</v>
      </c>
      <c r="BG142" s="238" t="s">
        <v>104</v>
      </c>
      <c r="BH142" s="238">
        <v>0.52</v>
      </c>
      <c r="BI142" s="238">
        <v>5712.37</v>
      </c>
      <c r="BK142" s="238" t="s">
        <v>104</v>
      </c>
      <c r="BL142" s="238">
        <v>0.35</v>
      </c>
      <c r="BM142" s="238">
        <v>5410.87</v>
      </c>
      <c r="BN142" s="245">
        <f t="shared" si="160"/>
        <v>0</v>
      </c>
      <c r="BO142" s="238" t="s">
        <v>104</v>
      </c>
      <c r="BP142" s="238">
        <v>0.42</v>
      </c>
      <c r="BQ142" s="238">
        <v>4947.5</v>
      </c>
    </row>
    <row r="143" spans="1:69" ht="15" customHeight="1" x14ac:dyDescent="0.25">
      <c r="N143" s="304"/>
      <c r="O143" s="245"/>
      <c r="P143" s="238" t="str">
        <f t="shared" si="157"/>
        <v>CHBTCAT2 PC</v>
      </c>
      <c r="R143" s="369" t="s">
        <v>97</v>
      </c>
      <c r="S143" s="370">
        <v>0.57999999999999996</v>
      </c>
      <c r="T143" s="371">
        <v>5738.88</v>
      </c>
      <c r="V143" s="256" t="s">
        <v>97</v>
      </c>
      <c r="W143" s="256">
        <v>0.59</v>
      </c>
      <c r="X143" s="256">
        <v>5875.18</v>
      </c>
      <c r="Z143" s="266" t="s">
        <v>97</v>
      </c>
      <c r="AA143" s="266">
        <v>0.6</v>
      </c>
      <c r="AB143" s="238">
        <v>5626.62</v>
      </c>
      <c r="AK143" s="238">
        <f t="shared" si="158"/>
        <v>0.57999999999999996</v>
      </c>
      <c r="AL143" s="238" t="s">
        <v>97</v>
      </c>
      <c r="AM143" s="238">
        <v>0.57999999999999996</v>
      </c>
      <c r="AN143" s="238">
        <v>5701.7</v>
      </c>
      <c r="AO143" s="238">
        <f t="shared" si="159"/>
        <v>0.36</v>
      </c>
      <c r="AP143" s="243" t="s">
        <v>97</v>
      </c>
      <c r="AQ143" s="243">
        <v>0.36</v>
      </c>
      <c r="AR143" s="243">
        <v>5899.6</v>
      </c>
      <c r="AT143" s="244" t="s">
        <v>97</v>
      </c>
      <c r="AU143" s="244">
        <v>0.89</v>
      </c>
      <c r="AV143" s="238">
        <v>5676.25</v>
      </c>
      <c r="BF143" s="245" t="str">
        <f t="shared" si="156"/>
        <v>HWA DEEP D24</v>
      </c>
      <c r="BG143" s="238" t="s">
        <v>105</v>
      </c>
      <c r="BH143" s="238">
        <v>0.69</v>
      </c>
      <c r="BI143" s="238">
        <v>5712.37</v>
      </c>
      <c r="BK143" s="238" t="s">
        <v>105</v>
      </c>
      <c r="BL143" s="238">
        <v>0.87</v>
      </c>
      <c r="BM143" s="238">
        <v>5410.87</v>
      </c>
      <c r="BN143" s="245">
        <f t="shared" si="160"/>
        <v>0</v>
      </c>
      <c r="BO143" s="238" t="s">
        <v>105</v>
      </c>
      <c r="BP143" s="238">
        <v>0.73</v>
      </c>
      <c r="BQ143" s="238">
        <v>4947.5</v>
      </c>
    </row>
    <row r="144" spans="1:69" ht="15" customHeight="1" x14ac:dyDescent="0.25">
      <c r="N144" s="304"/>
      <c r="O144" s="245"/>
      <c r="P144" s="238" t="str">
        <f t="shared" si="157"/>
        <v>CHBTCAT3 D24</v>
      </c>
      <c r="R144" s="297" t="s">
        <v>98</v>
      </c>
      <c r="S144" s="375">
        <v>205.93</v>
      </c>
      <c r="T144" s="375">
        <v>5738.88</v>
      </c>
      <c r="V144" s="256" t="s">
        <v>98</v>
      </c>
      <c r="W144" s="256">
        <v>214.27</v>
      </c>
      <c r="X144" s="256">
        <v>5875.18</v>
      </c>
      <c r="Z144" s="266" t="s">
        <v>98</v>
      </c>
      <c r="AA144" s="266">
        <v>208.69</v>
      </c>
      <c r="AB144" s="238">
        <v>5626.62</v>
      </c>
      <c r="AK144" s="238">
        <f t="shared" si="158"/>
        <v>177.26</v>
      </c>
      <c r="AL144" s="238" t="s">
        <v>98</v>
      </c>
      <c r="AM144" s="238">
        <v>177.26</v>
      </c>
      <c r="AN144" s="238">
        <v>5701.7</v>
      </c>
      <c r="AO144" s="238">
        <f t="shared" si="159"/>
        <v>177.72</v>
      </c>
      <c r="AP144" s="243" t="s">
        <v>98</v>
      </c>
      <c r="AQ144" s="243">
        <v>177.72</v>
      </c>
      <c r="AR144" s="243">
        <v>5899.6</v>
      </c>
      <c r="AT144" s="244" t="s">
        <v>98</v>
      </c>
      <c r="AU144" s="244">
        <v>189.36</v>
      </c>
      <c r="AV144" s="238">
        <v>5676.25</v>
      </c>
      <c r="BF144" s="245" t="str">
        <f t="shared" si="156"/>
        <v>HWA DEEP PC</v>
      </c>
      <c r="BG144" s="238" t="s">
        <v>106</v>
      </c>
      <c r="BH144" s="238">
        <v>1.96</v>
      </c>
      <c r="BI144" s="238">
        <v>5712.37</v>
      </c>
      <c r="BK144" s="238" t="s">
        <v>106</v>
      </c>
      <c r="BL144" s="238">
        <v>1.28</v>
      </c>
      <c r="BM144" s="238">
        <v>5410.87</v>
      </c>
      <c r="BN144" s="245">
        <f t="shared" si="160"/>
        <v>0</v>
      </c>
      <c r="BO144" s="238" t="s">
        <v>106</v>
      </c>
      <c r="BP144" s="238">
        <v>0.59</v>
      </c>
      <c r="BQ144" s="238">
        <v>4947.5</v>
      </c>
    </row>
    <row r="145" spans="14:69" ht="15" customHeight="1" x14ac:dyDescent="0.25">
      <c r="N145" s="304"/>
      <c r="O145" s="245"/>
      <c r="P145" s="238" t="str">
        <f t="shared" si="157"/>
        <v>DRYPINY6 D24</v>
      </c>
      <c r="R145" s="369" t="s">
        <v>99</v>
      </c>
      <c r="S145" s="370">
        <v>1.67</v>
      </c>
      <c r="T145" s="371">
        <v>5738.88</v>
      </c>
      <c r="V145" s="256" t="s">
        <v>99</v>
      </c>
      <c r="W145" s="256">
        <v>1.93</v>
      </c>
      <c r="X145" s="256">
        <v>5875.18</v>
      </c>
      <c r="Z145" s="266" t="s">
        <v>99</v>
      </c>
      <c r="AA145" s="266">
        <v>1.84</v>
      </c>
      <c r="AB145" s="238">
        <v>5626.62</v>
      </c>
      <c r="AK145" s="238">
        <f t="shared" si="158"/>
        <v>1.52</v>
      </c>
      <c r="AL145" s="238" t="s">
        <v>99</v>
      </c>
      <c r="AM145" s="238">
        <v>1.52</v>
      </c>
      <c r="AN145" s="238">
        <v>5701.7</v>
      </c>
      <c r="AO145" s="238">
        <f t="shared" si="159"/>
        <v>1.72</v>
      </c>
      <c r="AP145" s="243" t="s">
        <v>99</v>
      </c>
      <c r="AQ145" s="243">
        <v>1.72</v>
      </c>
      <c r="AR145" s="243">
        <v>5899.6</v>
      </c>
      <c r="AT145" s="244" t="s">
        <v>99</v>
      </c>
      <c r="AU145" s="244">
        <v>1.17</v>
      </c>
      <c r="AV145" s="238">
        <v>5676.25</v>
      </c>
      <c r="BF145" s="245" t="str">
        <f t="shared" si="156"/>
        <v>HWADEEPMTD24</v>
      </c>
      <c r="BG145" s="238" t="s">
        <v>195</v>
      </c>
      <c r="BH145" s="238">
        <v>14.27</v>
      </c>
      <c r="BI145" s="238">
        <v>5712.37</v>
      </c>
      <c r="BK145" s="238" t="s">
        <v>195</v>
      </c>
      <c r="BL145" s="238">
        <v>17.850000000000001</v>
      </c>
      <c r="BM145" s="238">
        <v>5410.87</v>
      </c>
      <c r="BN145" s="245">
        <f t="shared" si="160"/>
        <v>0</v>
      </c>
      <c r="BO145" s="238" t="s">
        <v>195</v>
      </c>
      <c r="BP145" s="238">
        <v>15.99</v>
      </c>
      <c r="BQ145" s="238">
        <v>4947.5</v>
      </c>
    </row>
    <row r="146" spans="14:69" ht="15" customHeight="1" x14ac:dyDescent="0.25">
      <c r="N146" s="304"/>
      <c r="O146" s="245"/>
      <c r="P146" s="238" t="str">
        <f t="shared" si="157"/>
        <v>DRYPINY6 PC</v>
      </c>
      <c r="R146" s="376" t="s">
        <v>100</v>
      </c>
      <c r="S146" s="377">
        <v>1.22</v>
      </c>
      <c r="T146" s="378">
        <v>5738.88</v>
      </c>
      <c r="V146" s="256" t="s">
        <v>100</v>
      </c>
      <c r="W146" s="256">
        <v>1.31</v>
      </c>
      <c r="X146" s="256">
        <v>5875.18</v>
      </c>
      <c r="Z146" s="266" t="s">
        <v>100</v>
      </c>
      <c r="AA146" s="266">
        <v>1.27</v>
      </c>
      <c r="AB146" s="238">
        <v>5626.62</v>
      </c>
      <c r="AK146" s="238">
        <f t="shared" si="158"/>
        <v>1.1599999999999999</v>
      </c>
      <c r="AL146" s="238" t="s">
        <v>100</v>
      </c>
      <c r="AM146" s="238">
        <v>1.1599999999999999</v>
      </c>
      <c r="AN146" s="238">
        <v>5701.7</v>
      </c>
      <c r="AO146" s="238">
        <f t="shared" si="159"/>
        <v>1.28</v>
      </c>
      <c r="AP146" s="243" t="s">
        <v>100</v>
      </c>
      <c r="AQ146" s="243">
        <v>1.28</v>
      </c>
      <c r="AR146" s="243">
        <v>5899.6</v>
      </c>
      <c r="AT146" s="244" t="s">
        <v>100</v>
      </c>
      <c r="AU146" s="244">
        <v>1.06</v>
      </c>
      <c r="AV146" s="238">
        <v>5676.25</v>
      </c>
      <c r="BF146" s="245" t="str">
        <f t="shared" si="156"/>
        <v>HWPL1&amp;3MTD24</v>
      </c>
      <c r="BG146" s="238" t="s">
        <v>157</v>
      </c>
      <c r="BH146" s="238">
        <v>10.25</v>
      </c>
      <c r="BI146" s="238">
        <v>5712.37</v>
      </c>
      <c r="BK146" s="238" t="s">
        <v>157</v>
      </c>
      <c r="BL146" s="238">
        <v>10.18</v>
      </c>
      <c r="BM146" s="238">
        <v>5410.87</v>
      </c>
      <c r="BN146" s="245">
        <f t="shared" si="160"/>
        <v>0</v>
      </c>
      <c r="BO146" s="238" t="s">
        <v>157</v>
      </c>
      <c r="BP146" s="238">
        <v>8.31</v>
      </c>
      <c r="BQ146" s="238">
        <v>4947.5</v>
      </c>
    </row>
    <row r="147" spans="14:69" ht="15" customHeight="1" x14ac:dyDescent="0.25">
      <c r="N147" s="304"/>
      <c r="O147" s="245"/>
      <c r="P147" s="238" t="str">
        <f t="shared" si="157"/>
        <v>DRYPINYU D24</v>
      </c>
      <c r="R147" s="369" t="s">
        <v>101</v>
      </c>
      <c r="S147" s="370">
        <v>10.1</v>
      </c>
      <c r="T147" s="371">
        <v>5738.88</v>
      </c>
      <c r="U147" s="379"/>
      <c r="V147" s="256" t="s">
        <v>101</v>
      </c>
      <c r="W147" s="256">
        <v>9.91</v>
      </c>
      <c r="X147" s="256">
        <v>5875.18</v>
      </c>
      <c r="Z147" s="266" t="s">
        <v>101</v>
      </c>
      <c r="AA147" s="266">
        <v>9.76</v>
      </c>
      <c r="AB147" s="238">
        <v>5626.62</v>
      </c>
      <c r="AK147" s="238">
        <f t="shared" si="158"/>
        <v>9.02</v>
      </c>
      <c r="AL147" s="238" t="s">
        <v>101</v>
      </c>
      <c r="AM147" s="238">
        <v>9.02</v>
      </c>
      <c r="AN147" s="238">
        <v>5701.7</v>
      </c>
      <c r="AO147" s="238">
        <f t="shared" si="159"/>
        <v>9.59</v>
      </c>
      <c r="AP147" s="243" t="s">
        <v>101</v>
      </c>
      <c r="AQ147" s="243">
        <v>9.59</v>
      </c>
      <c r="AR147" s="243">
        <v>5899.6</v>
      </c>
      <c r="AT147" s="244" t="s">
        <v>101</v>
      </c>
      <c r="AU147" s="244">
        <v>8.07</v>
      </c>
      <c r="AV147" s="238">
        <v>5676.25</v>
      </c>
      <c r="BF147" s="245" t="str">
        <f t="shared" si="156"/>
        <v>HWPL1&amp;3MTPC</v>
      </c>
      <c r="BG147" s="238" t="s">
        <v>196</v>
      </c>
      <c r="BH147" s="238">
        <v>8.59</v>
      </c>
      <c r="BI147" s="238">
        <v>5712.37</v>
      </c>
      <c r="BK147" s="238" t="s">
        <v>196</v>
      </c>
      <c r="BL147" s="238">
        <v>8.86</v>
      </c>
      <c r="BM147" s="238">
        <v>5410.87</v>
      </c>
      <c r="BN147" s="245">
        <f t="shared" si="160"/>
        <v>0</v>
      </c>
      <c r="BO147" s="238" t="s">
        <v>196</v>
      </c>
      <c r="BP147" s="238">
        <v>6.92</v>
      </c>
      <c r="BQ147" s="238">
        <v>4947.5</v>
      </c>
    </row>
    <row r="148" spans="14:69" ht="15" customHeight="1" x14ac:dyDescent="0.25">
      <c r="N148" s="245"/>
      <c r="O148" s="245"/>
      <c r="P148" s="238" t="str">
        <f t="shared" si="157"/>
        <v>DRYPINYU PC</v>
      </c>
      <c r="R148" s="369" t="s">
        <v>102</v>
      </c>
      <c r="S148" s="370">
        <v>21.19</v>
      </c>
      <c r="T148" s="371">
        <v>5738.88</v>
      </c>
      <c r="V148" s="256" t="s">
        <v>102</v>
      </c>
      <c r="W148" s="256">
        <v>20.02</v>
      </c>
      <c r="X148" s="256">
        <v>5875.18</v>
      </c>
      <c r="Z148" s="266" t="s">
        <v>102</v>
      </c>
      <c r="AA148" s="266">
        <v>18.45</v>
      </c>
      <c r="AB148" s="238">
        <v>5626.62</v>
      </c>
      <c r="AK148" s="238">
        <f t="shared" si="158"/>
        <v>15.8</v>
      </c>
      <c r="AL148" s="238" t="s">
        <v>102</v>
      </c>
      <c r="AM148" s="238">
        <v>15.8</v>
      </c>
      <c r="AN148" s="238">
        <v>5701.7</v>
      </c>
      <c r="AO148" s="238">
        <f t="shared" si="159"/>
        <v>16.940000000000001</v>
      </c>
      <c r="AP148" s="243" t="s">
        <v>102</v>
      </c>
      <c r="AQ148" s="243">
        <v>16.940000000000001</v>
      </c>
      <c r="AR148" s="243">
        <v>5899.6</v>
      </c>
      <c r="AT148" s="244" t="s">
        <v>102</v>
      </c>
      <c r="AU148" s="244">
        <v>14.27</v>
      </c>
      <c r="AV148" s="238">
        <v>5676.25</v>
      </c>
      <c r="BF148" s="245" t="str">
        <f t="shared" si="156"/>
        <v>HWPLT1&amp;3 D24</v>
      </c>
      <c r="BG148" s="238" t="s">
        <v>107</v>
      </c>
      <c r="BH148" s="238">
        <v>105.4</v>
      </c>
      <c r="BI148" s="238">
        <v>5712.37</v>
      </c>
      <c r="BK148" s="238" t="s">
        <v>107</v>
      </c>
      <c r="BL148" s="238">
        <v>106.1</v>
      </c>
      <c r="BM148" s="238">
        <v>5410.87</v>
      </c>
      <c r="BN148" s="245">
        <f t="shared" si="160"/>
        <v>0</v>
      </c>
      <c r="BO148" s="238" t="s">
        <v>107</v>
      </c>
      <c r="BP148" s="238">
        <v>82.5</v>
      </c>
      <c r="BQ148" s="238">
        <v>4947.5</v>
      </c>
    </row>
    <row r="149" spans="14:69" ht="15" customHeight="1" x14ac:dyDescent="0.25">
      <c r="N149" s="245"/>
      <c r="O149" s="245"/>
      <c r="P149" s="238" t="str">
        <f t="shared" si="157"/>
        <v>FOGARTY PC</v>
      </c>
      <c r="R149" s="272" t="s">
        <v>104</v>
      </c>
      <c r="S149" s="370">
        <v>1.1299999999999999</v>
      </c>
      <c r="T149" s="371">
        <v>5738.88</v>
      </c>
      <c r="V149" s="256" t="s">
        <v>104</v>
      </c>
      <c r="W149" s="256">
        <v>1.08</v>
      </c>
      <c r="X149" s="256">
        <v>5875.18</v>
      </c>
      <c r="Z149" s="266" t="s">
        <v>104</v>
      </c>
      <c r="AA149" s="266">
        <v>0.78</v>
      </c>
      <c r="AB149" s="238">
        <v>5626.62</v>
      </c>
      <c r="AK149" s="238">
        <f t="shared" si="158"/>
        <v>0.7</v>
      </c>
      <c r="AL149" s="238" t="s">
        <v>104</v>
      </c>
      <c r="AM149" s="238">
        <v>0.7</v>
      </c>
      <c r="AN149" s="238">
        <v>5701.7</v>
      </c>
      <c r="AO149" s="238">
        <f t="shared" si="159"/>
        <v>0.57999999999999996</v>
      </c>
      <c r="AP149" s="243" t="s">
        <v>104</v>
      </c>
      <c r="AQ149" s="243">
        <v>0.57999999999999996</v>
      </c>
      <c r="AR149" s="243">
        <v>5899.6</v>
      </c>
      <c r="AT149" s="244" t="s">
        <v>104</v>
      </c>
      <c r="AU149" s="244">
        <v>0.82</v>
      </c>
      <c r="AV149" s="238">
        <v>5676.25</v>
      </c>
      <c r="BF149" s="245" t="str">
        <f t="shared" si="156"/>
        <v>HWPLT1&amp;3 PC</v>
      </c>
      <c r="BG149" s="238" t="s">
        <v>108</v>
      </c>
      <c r="BH149" s="238">
        <v>83.4</v>
      </c>
      <c r="BI149" s="238">
        <v>5712.37</v>
      </c>
      <c r="BK149" s="238" t="s">
        <v>108</v>
      </c>
      <c r="BL149" s="238">
        <v>78.7</v>
      </c>
      <c r="BM149" s="238">
        <v>5410.87</v>
      </c>
      <c r="BN149" s="245">
        <f t="shared" si="160"/>
        <v>0</v>
      </c>
      <c r="BO149" s="238" t="s">
        <v>108</v>
      </c>
      <c r="BP149" s="238">
        <v>54.58</v>
      </c>
      <c r="BQ149" s="238">
        <v>4947.5</v>
      </c>
    </row>
    <row r="150" spans="14:69" ht="15" customHeight="1" x14ac:dyDescent="0.25">
      <c r="P150" s="238" t="str">
        <f t="shared" si="157"/>
        <v>HWA DEEP D24</v>
      </c>
      <c r="R150" s="369" t="s">
        <v>105</v>
      </c>
      <c r="S150" s="370">
        <v>1.47</v>
      </c>
      <c r="T150" s="371">
        <v>5738.88</v>
      </c>
      <c r="V150" s="256" t="s">
        <v>105</v>
      </c>
      <c r="W150" s="256">
        <v>1.1100000000000001</v>
      </c>
      <c r="X150" s="256">
        <v>5875.18</v>
      </c>
      <c r="Z150" s="266" t="s">
        <v>105</v>
      </c>
      <c r="AA150" s="266">
        <v>1.86</v>
      </c>
      <c r="AB150" s="238">
        <v>5626.62</v>
      </c>
      <c r="AK150" s="238">
        <f t="shared" si="158"/>
        <v>1.1499999999999999</v>
      </c>
      <c r="AL150" s="238" t="s">
        <v>105</v>
      </c>
      <c r="AM150" s="238">
        <v>1.1499999999999999</v>
      </c>
      <c r="AN150" s="238">
        <v>5701.7</v>
      </c>
      <c r="AO150" s="238">
        <f t="shared" si="159"/>
        <v>0.93</v>
      </c>
      <c r="AP150" s="243" t="s">
        <v>105</v>
      </c>
      <c r="AQ150" s="243">
        <v>0.93</v>
      </c>
      <c r="AR150" s="243">
        <v>5899.6</v>
      </c>
      <c r="AT150" s="244" t="s">
        <v>105</v>
      </c>
      <c r="AU150" s="244">
        <v>0.83</v>
      </c>
      <c r="AV150" s="238">
        <v>5676.25</v>
      </c>
      <c r="BF150" s="245" t="str">
        <f t="shared" si="156"/>
        <v>HWPLT2 D24</v>
      </c>
      <c r="BG150" s="238" t="s">
        <v>109</v>
      </c>
      <c r="BH150" s="238">
        <v>10.99</v>
      </c>
      <c r="BI150" s="238">
        <v>5712.37</v>
      </c>
      <c r="BK150" s="238" t="s">
        <v>109</v>
      </c>
      <c r="BL150" s="238">
        <v>10.33</v>
      </c>
      <c r="BM150" s="238">
        <v>5410.87</v>
      </c>
      <c r="BN150" s="245">
        <f t="shared" si="160"/>
        <v>0</v>
      </c>
      <c r="BO150" s="238" t="s">
        <v>109</v>
      </c>
      <c r="BP150" s="238">
        <v>9.4499999999999993</v>
      </c>
      <c r="BQ150" s="238">
        <v>4947.5</v>
      </c>
    </row>
    <row r="151" spans="14:69" ht="15" customHeight="1" x14ac:dyDescent="0.25">
      <c r="P151" s="238" t="str">
        <f t="shared" ref="P151:P182" si="161">VLOOKUP(R151,$R$6:$R$109,1,FALSE)</f>
        <v>HWA DEEP PC</v>
      </c>
      <c r="R151" s="369" t="s">
        <v>106</v>
      </c>
      <c r="S151" s="370">
        <v>1.67</v>
      </c>
      <c r="T151" s="371">
        <v>5738.88</v>
      </c>
      <c r="V151" s="256" t="s">
        <v>106</v>
      </c>
      <c r="W151" s="256">
        <v>1.72</v>
      </c>
      <c r="X151" s="256">
        <v>5875.18</v>
      </c>
      <c r="Z151" s="266" t="s">
        <v>106</v>
      </c>
      <c r="AA151" s="266">
        <v>1.75</v>
      </c>
      <c r="AB151" s="238">
        <v>5626.62</v>
      </c>
      <c r="AK151" s="238">
        <f t="shared" si="158"/>
        <v>1.31</v>
      </c>
      <c r="AL151" s="238" t="s">
        <v>106</v>
      </c>
      <c r="AM151" s="238">
        <v>1.31</v>
      </c>
      <c r="AN151" s="238">
        <v>5701.7</v>
      </c>
      <c r="AO151" s="238">
        <f t="shared" si="159"/>
        <v>1.32</v>
      </c>
      <c r="AP151" s="243" t="s">
        <v>106</v>
      </c>
      <c r="AQ151" s="243">
        <v>1.32</v>
      </c>
      <c r="AR151" s="243">
        <v>5899.6</v>
      </c>
      <c r="AT151" s="244" t="s">
        <v>106</v>
      </c>
      <c r="AU151" s="244">
        <v>1.1399999999999999</v>
      </c>
      <c r="AV151" s="238">
        <v>5676.25</v>
      </c>
      <c r="BF151" s="245" t="str">
        <f t="shared" si="156"/>
        <v>HWPLT2 PC</v>
      </c>
      <c r="BG151" s="238" t="s">
        <v>110</v>
      </c>
      <c r="BH151" s="238">
        <v>1.1299999999999999</v>
      </c>
      <c r="BI151" s="238">
        <v>5712.37</v>
      </c>
      <c r="BK151" s="238" t="s">
        <v>110</v>
      </c>
      <c r="BL151" s="238">
        <v>1.07</v>
      </c>
      <c r="BM151" s="238">
        <v>5410.87</v>
      </c>
      <c r="BN151" s="245">
        <f t="shared" si="160"/>
        <v>0</v>
      </c>
      <c r="BO151" s="238" t="s">
        <v>110</v>
      </c>
      <c r="BP151" s="238">
        <v>1</v>
      </c>
      <c r="BQ151" s="238">
        <v>4947.5</v>
      </c>
    </row>
    <row r="152" spans="14:69" ht="15" customHeight="1" x14ac:dyDescent="0.25">
      <c r="P152" s="238" t="str">
        <f t="shared" si="161"/>
        <v>HWADEEPMTD24</v>
      </c>
      <c r="R152" s="369" t="s">
        <v>195</v>
      </c>
      <c r="S152" s="370">
        <v>10.56</v>
      </c>
      <c r="T152" s="371">
        <v>5738.88</v>
      </c>
      <c r="V152" s="256" t="s">
        <v>195</v>
      </c>
      <c r="W152" s="256">
        <v>11.47</v>
      </c>
      <c r="X152" s="256">
        <v>5875.18</v>
      </c>
      <c r="Z152" s="266" t="s">
        <v>195</v>
      </c>
      <c r="AA152" s="266">
        <v>9.93</v>
      </c>
      <c r="AB152" s="238">
        <v>5626.62</v>
      </c>
      <c r="AK152" s="238">
        <f t="shared" si="158"/>
        <v>9.57</v>
      </c>
      <c r="AL152" s="238" t="s">
        <v>195</v>
      </c>
      <c r="AM152" s="238">
        <v>9.57</v>
      </c>
      <c r="AN152" s="238">
        <v>5701.7</v>
      </c>
      <c r="AO152" s="238">
        <f t="shared" si="159"/>
        <v>19.53</v>
      </c>
      <c r="AP152" s="243" t="s">
        <v>195</v>
      </c>
      <c r="AQ152" s="243">
        <v>19.53</v>
      </c>
      <c r="AR152" s="243">
        <v>5899.6</v>
      </c>
      <c r="AT152" s="244" t="s">
        <v>195</v>
      </c>
      <c r="AU152" s="244">
        <v>18.8</v>
      </c>
      <c r="AV152" s="238">
        <v>5676.25</v>
      </c>
      <c r="BF152" s="245" t="str">
        <f t="shared" si="156"/>
        <v>HWPLT2MT D24</v>
      </c>
      <c r="BG152" s="238" t="s">
        <v>197</v>
      </c>
      <c r="BH152" s="238">
        <v>5.96</v>
      </c>
      <c r="BI152" s="238">
        <v>5712.37</v>
      </c>
      <c r="BK152" s="238" t="s">
        <v>197</v>
      </c>
      <c r="BL152" s="238">
        <v>6.63</v>
      </c>
      <c r="BM152" s="238">
        <v>5410.87</v>
      </c>
      <c r="BN152" s="245">
        <f t="shared" si="160"/>
        <v>0</v>
      </c>
      <c r="BO152" s="238" t="s">
        <v>197</v>
      </c>
      <c r="BP152" s="238">
        <v>5.8</v>
      </c>
      <c r="BQ152" s="238">
        <v>4947.5</v>
      </c>
    </row>
    <row r="153" spans="14:69" ht="15" customHeight="1" x14ac:dyDescent="0.25">
      <c r="P153" s="238" t="str">
        <f t="shared" si="161"/>
        <v>HWPL1&amp;3MTD24</v>
      </c>
      <c r="R153" s="369" t="s">
        <v>157</v>
      </c>
      <c r="S153" s="370">
        <v>10.71</v>
      </c>
      <c r="T153" s="371">
        <v>5738.88</v>
      </c>
      <c r="V153" s="256" t="s">
        <v>157</v>
      </c>
      <c r="W153" s="256">
        <v>10.97</v>
      </c>
      <c r="X153" s="256">
        <v>5875.18</v>
      </c>
      <c r="Z153" s="266" t="s">
        <v>157</v>
      </c>
      <c r="AA153" s="266">
        <v>10.76</v>
      </c>
      <c r="AB153" s="238">
        <v>5626.62</v>
      </c>
      <c r="AK153" s="238">
        <f t="shared" si="158"/>
        <v>10.52</v>
      </c>
      <c r="AL153" s="238" t="s">
        <v>157</v>
      </c>
      <c r="AM153" s="238">
        <v>10.52</v>
      </c>
      <c r="AN153" s="238">
        <v>5701.7</v>
      </c>
      <c r="AO153" s="238">
        <f t="shared" si="159"/>
        <v>10.46</v>
      </c>
      <c r="AP153" s="243" t="s">
        <v>157</v>
      </c>
      <c r="AQ153" s="243">
        <v>10.46</v>
      </c>
      <c r="AR153" s="243">
        <v>5899.6</v>
      </c>
      <c r="AT153" s="244" t="s">
        <v>157</v>
      </c>
      <c r="AU153" s="244">
        <v>10.1</v>
      </c>
      <c r="AV153" s="238">
        <v>5676.25</v>
      </c>
      <c r="BF153" s="245" t="str">
        <f t="shared" si="156"/>
        <v>ISLAND D24</v>
      </c>
      <c r="BG153" s="238" t="s">
        <v>111</v>
      </c>
      <c r="BH153" s="238">
        <v>68.33</v>
      </c>
      <c r="BI153" s="238">
        <v>5712.37</v>
      </c>
      <c r="BK153" s="238" t="s">
        <v>111</v>
      </c>
      <c r="BL153" s="238">
        <v>66.55</v>
      </c>
      <c r="BM153" s="238">
        <v>5410.87</v>
      </c>
      <c r="BN153" s="245">
        <f>VLOOKUP(BK157,$BK$6:$BL$109,2,FALSE)-BL157</f>
        <v>0</v>
      </c>
      <c r="BO153" s="238" t="s">
        <v>111</v>
      </c>
      <c r="BP153" s="238">
        <v>57.65</v>
      </c>
      <c r="BQ153" s="238">
        <v>4947.5</v>
      </c>
    </row>
    <row r="154" spans="14:69" ht="15" customHeight="1" x14ac:dyDescent="0.25">
      <c r="P154" s="238" t="str">
        <f t="shared" si="161"/>
        <v>HWPL1&amp;3MTPC</v>
      </c>
      <c r="R154" s="297" t="s">
        <v>196</v>
      </c>
      <c r="S154" s="370">
        <v>8.48</v>
      </c>
      <c r="T154" s="371">
        <v>5738.88</v>
      </c>
      <c r="V154" s="256" t="s">
        <v>196</v>
      </c>
      <c r="W154" s="256">
        <v>9.3699999999999992</v>
      </c>
      <c r="X154" s="256">
        <v>5875.18</v>
      </c>
      <c r="Y154" s="379"/>
      <c r="Z154" s="266" t="s">
        <v>196</v>
      </c>
      <c r="AA154" s="266">
        <v>10.87</v>
      </c>
      <c r="AB154" s="238">
        <v>5626.62</v>
      </c>
      <c r="AK154" s="238">
        <f t="shared" si="158"/>
        <v>7.09</v>
      </c>
      <c r="AL154" s="238" t="s">
        <v>196</v>
      </c>
      <c r="AM154" s="238">
        <v>7.09</v>
      </c>
      <c r="AN154" s="238">
        <v>5701.7</v>
      </c>
      <c r="AO154" s="238">
        <f t="shared" si="159"/>
        <v>8.52</v>
      </c>
      <c r="AP154" s="243" t="s">
        <v>196</v>
      </c>
      <c r="AQ154" s="243">
        <v>8.52</v>
      </c>
      <c r="AR154" s="243">
        <v>5899.6</v>
      </c>
      <c r="AT154" s="244" t="s">
        <v>196</v>
      </c>
      <c r="AU154" s="244">
        <v>9.5399999999999991</v>
      </c>
      <c r="AV154" s="238">
        <v>5676.25</v>
      </c>
      <c r="BF154" s="245" t="str">
        <f t="shared" si="156"/>
        <v>ISLAND PC</v>
      </c>
      <c r="BG154" s="238" t="s">
        <v>112</v>
      </c>
      <c r="BH154" s="238">
        <v>0.85</v>
      </c>
      <c r="BI154" s="238">
        <v>5712.37</v>
      </c>
      <c r="BK154" s="238" t="s">
        <v>112</v>
      </c>
      <c r="BL154" s="238">
        <v>0.77</v>
      </c>
      <c r="BM154" s="238">
        <v>5410.87</v>
      </c>
      <c r="BN154" s="245">
        <f>VLOOKUP(BK158,$BK$6:$BL$109,2,FALSE)-BL158</f>
        <v>0</v>
      </c>
      <c r="BO154" s="238" t="s">
        <v>112</v>
      </c>
      <c r="BP154" s="238">
        <v>0.81</v>
      </c>
      <c r="BQ154" s="238">
        <v>4947.5</v>
      </c>
    </row>
    <row r="155" spans="14:69" ht="15" customHeight="1" x14ac:dyDescent="0.25">
      <c r="P155" s="238" t="str">
        <f t="shared" si="161"/>
        <v>HWPLT1&amp;3 D24</v>
      </c>
      <c r="R155" s="369" t="s">
        <v>107</v>
      </c>
      <c r="S155" s="370">
        <v>102.59</v>
      </c>
      <c r="T155" s="371">
        <v>5738.88</v>
      </c>
      <c r="V155" s="256" t="s">
        <v>107</v>
      </c>
      <c r="W155" s="256">
        <v>105.47</v>
      </c>
      <c r="X155" s="256">
        <v>5875.18</v>
      </c>
      <c r="Z155" s="266" t="s">
        <v>107</v>
      </c>
      <c r="AA155" s="266">
        <v>107.94</v>
      </c>
      <c r="AB155" s="238">
        <v>5626.62</v>
      </c>
      <c r="AK155" s="238">
        <f t="shared" si="158"/>
        <v>101.08</v>
      </c>
      <c r="AL155" s="238" t="s">
        <v>107</v>
      </c>
      <c r="AM155" s="238">
        <v>101.08</v>
      </c>
      <c r="AN155" s="238">
        <v>5701.7</v>
      </c>
      <c r="AO155" s="238">
        <f t="shared" si="159"/>
        <v>104.7</v>
      </c>
      <c r="AP155" s="243" t="s">
        <v>107</v>
      </c>
      <c r="AQ155" s="243">
        <v>104.7</v>
      </c>
      <c r="AR155" s="243">
        <v>5899.6</v>
      </c>
      <c r="AT155" s="244" t="s">
        <v>107</v>
      </c>
      <c r="AU155" s="244">
        <v>101.77</v>
      </c>
      <c r="AV155" s="238">
        <v>5676.25</v>
      </c>
      <c r="BF155" s="245" t="str">
        <f t="shared" si="156"/>
        <v>JNSNRDG PC</v>
      </c>
      <c r="BG155" s="238" t="s">
        <v>114</v>
      </c>
      <c r="BH155" s="238">
        <v>0.06</v>
      </c>
      <c r="BI155" s="238">
        <v>5712.37</v>
      </c>
    </row>
    <row r="156" spans="14:69" ht="15" customHeight="1" x14ac:dyDescent="0.25">
      <c r="P156" s="238" t="str">
        <f t="shared" si="161"/>
        <v>HWPLT1&amp;3 PC</v>
      </c>
      <c r="R156" s="369" t="s">
        <v>108</v>
      </c>
      <c r="S156" s="370">
        <v>84.46</v>
      </c>
      <c r="T156" s="371">
        <v>5738.88</v>
      </c>
      <c r="V156" s="256" t="s">
        <v>108</v>
      </c>
      <c r="W156" s="256">
        <v>86.82</v>
      </c>
      <c r="X156" s="256">
        <v>5875.18</v>
      </c>
      <c r="Z156" s="266" t="s">
        <v>108</v>
      </c>
      <c r="AA156" s="266">
        <v>8.2899999999999991</v>
      </c>
      <c r="AB156" s="238">
        <v>5626.62</v>
      </c>
      <c r="AK156" s="238">
        <f t="shared" si="158"/>
        <v>87.07</v>
      </c>
      <c r="AL156" s="238" t="s">
        <v>108</v>
      </c>
      <c r="AM156" s="238">
        <v>87.07</v>
      </c>
      <c r="AN156" s="238">
        <v>5701.7</v>
      </c>
      <c r="AO156" s="238">
        <f t="shared" si="159"/>
        <v>88.28</v>
      </c>
      <c r="AP156" s="243" t="s">
        <v>108</v>
      </c>
      <c r="AQ156" s="243">
        <v>88.28</v>
      </c>
      <c r="AR156" s="243">
        <v>5899.6</v>
      </c>
      <c r="AT156" s="244" t="s">
        <v>108</v>
      </c>
      <c r="AU156" s="244">
        <v>85.97</v>
      </c>
      <c r="AV156" s="238">
        <v>5676.25</v>
      </c>
      <c r="BF156" s="245" t="str">
        <f t="shared" si="156"/>
        <v>JRDG WFS D24</v>
      </c>
      <c r="BG156" s="238" t="s">
        <v>115</v>
      </c>
      <c r="BH156" s="238">
        <v>0.1</v>
      </c>
      <c r="BI156" s="238">
        <v>5712.37</v>
      </c>
    </row>
    <row r="157" spans="14:69" ht="15" customHeight="1" x14ac:dyDescent="0.25">
      <c r="P157" s="238" t="str">
        <f t="shared" si="161"/>
        <v>HWPLT2 D24</v>
      </c>
      <c r="R157" s="376" t="s">
        <v>109</v>
      </c>
      <c r="S157" s="370">
        <v>12.37</v>
      </c>
      <c r="T157" s="371">
        <v>5738.88</v>
      </c>
      <c r="V157" s="256" t="s">
        <v>109</v>
      </c>
      <c r="W157" s="256">
        <v>12.29</v>
      </c>
      <c r="X157" s="256">
        <v>5875.18</v>
      </c>
      <c r="Z157" s="266" t="s">
        <v>109</v>
      </c>
      <c r="AA157" s="266">
        <v>12.45</v>
      </c>
      <c r="AB157" s="238">
        <v>5626.62</v>
      </c>
      <c r="AK157" s="238">
        <f t="shared" si="158"/>
        <v>12.9</v>
      </c>
      <c r="AL157" s="238" t="s">
        <v>109</v>
      </c>
      <c r="AM157" s="238">
        <v>12.9</v>
      </c>
      <c r="AN157" s="238">
        <v>5701.7</v>
      </c>
      <c r="AO157" s="238">
        <f t="shared" si="159"/>
        <v>13.21</v>
      </c>
      <c r="AP157" s="243" t="s">
        <v>109</v>
      </c>
      <c r="AQ157" s="243">
        <v>13.21</v>
      </c>
      <c r="AR157" s="243">
        <v>5899.6</v>
      </c>
      <c r="AT157" s="244" t="s">
        <v>109</v>
      </c>
      <c r="AU157" s="244">
        <v>11.56</v>
      </c>
      <c r="AV157" s="238">
        <v>5676.25</v>
      </c>
      <c r="BF157" s="245" t="str">
        <f t="shared" si="156"/>
        <v>KNY FLD D24</v>
      </c>
      <c r="BG157" s="238" t="s">
        <v>198</v>
      </c>
      <c r="BH157" s="238">
        <v>26.37</v>
      </c>
      <c r="BI157" s="238">
        <v>5712.37</v>
      </c>
      <c r="BK157" s="238" t="s">
        <v>198</v>
      </c>
      <c r="BL157" s="238">
        <v>21.25</v>
      </c>
      <c r="BM157" s="238">
        <v>5410.87</v>
      </c>
      <c r="BN157" s="245">
        <f t="shared" ref="BN157:BN193" si="162">VLOOKUP(BK159,$BK$6:$BL$109,2,FALSE)-BL159</f>
        <v>0</v>
      </c>
      <c r="BO157" s="238" t="s">
        <v>198</v>
      </c>
      <c r="BP157" s="238">
        <v>19.940000000000001</v>
      </c>
      <c r="BQ157" s="238">
        <v>4947.5</v>
      </c>
    </row>
    <row r="158" spans="14:69" ht="15" customHeight="1" x14ac:dyDescent="0.25">
      <c r="P158" s="238" t="str">
        <f t="shared" si="161"/>
        <v>HWPLT2 PC</v>
      </c>
      <c r="R158" s="369" t="s">
        <v>110</v>
      </c>
      <c r="S158" s="370">
        <v>1.33</v>
      </c>
      <c r="T158" s="371">
        <v>5738.88</v>
      </c>
      <c r="V158" s="256" t="s">
        <v>110</v>
      </c>
      <c r="W158" s="256">
        <v>1.44</v>
      </c>
      <c r="X158" s="256">
        <v>5875.18</v>
      </c>
      <c r="Z158" s="266" t="s">
        <v>110</v>
      </c>
      <c r="AA158" s="266">
        <v>1.63</v>
      </c>
      <c r="AB158" s="238">
        <v>5626.62</v>
      </c>
      <c r="AK158" s="238">
        <f t="shared" si="158"/>
        <v>1.65</v>
      </c>
      <c r="AL158" s="238" t="s">
        <v>110</v>
      </c>
      <c r="AM158" s="238">
        <v>1.65</v>
      </c>
      <c r="AN158" s="238">
        <v>5701.7</v>
      </c>
      <c r="AO158" s="238">
        <f t="shared" si="159"/>
        <v>1.71</v>
      </c>
      <c r="AP158" s="243" t="s">
        <v>110</v>
      </c>
      <c r="AQ158" s="243">
        <v>1.71</v>
      </c>
      <c r="AR158" s="243">
        <v>5899.6</v>
      </c>
      <c r="AT158" s="244" t="s">
        <v>110</v>
      </c>
      <c r="AU158" s="244">
        <v>1.1599999999999999</v>
      </c>
      <c r="AV158" s="238">
        <v>5676.25</v>
      </c>
      <c r="BF158" s="245" t="str">
        <f t="shared" si="156"/>
        <v>KNY FLD PC</v>
      </c>
      <c r="BG158" s="238" t="s">
        <v>116</v>
      </c>
      <c r="BH158" s="238">
        <v>4.91</v>
      </c>
      <c r="BI158" s="238">
        <v>5712.37</v>
      </c>
      <c r="BK158" s="238" t="s">
        <v>116</v>
      </c>
      <c r="BL158" s="238">
        <v>5.1100000000000003</v>
      </c>
      <c r="BM158" s="238">
        <v>5410.87</v>
      </c>
      <c r="BN158" s="245">
        <f t="shared" si="162"/>
        <v>0</v>
      </c>
      <c r="BO158" s="238" t="s">
        <v>116</v>
      </c>
      <c r="BP158" s="238">
        <v>4.33</v>
      </c>
      <c r="BQ158" s="238">
        <v>4947.5</v>
      </c>
    </row>
    <row r="159" spans="14:69" ht="15" customHeight="1" x14ac:dyDescent="0.25">
      <c r="P159" s="238" t="str">
        <f t="shared" si="161"/>
        <v>HWPLT2MT D24</v>
      </c>
      <c r="R159" s="369" t="s">
        <v>197</v>
      </c>
      <c r="S159" s="370">
        <v>5.93</v>
      </c>
      <c r="T159" s="371">
        <v>5738.88</v>
      </c>
      <c r="V159" s="256" t="s">
        <v>197</v>
      </c>
      <c r="W159" s="256">
        <v>6.1</v>
      </c>
      <c r="X159" s="256">
        <v>5875.18</v>
      </c>
      <c r="Z159" s="266" t="s">
        <v>197</v>
      </c>
      <c r="AA159" s="266">
        <v>5.8</v>
      </c>
      <c r="AB159" s="238">
        <v>5626.62</v>
      </c>
      <c r="AK159" s="238">
        <f t="shared" si="158"/>
        <v>5.97</v>
      </c>
      <c r="AL159" s="238" t="s">
        <v>197</v>
      </c>
      <c r="AM159" s="238">
        <v>5.97</v>
      </c>
      <c r="AN159" s="238">
        <v>5701.7</v>
      </c>
      <c r="AO159" s="238">
        <f t="shared" si="159"/>
        <v>6.68</v>
      </c>
      <c r="AP159" s="243" t="s">
        <v>197</v>
      </c>
      <c r="AQ159" s="243">
        <v>6.68</v>
      </c>
      <c r="AR159" s="243">
        <v>5899.6</v>
      </c>
      <c r="AT159" s="244" t="s">
        <v>197</v>
      </c>
      <c r="AU159" s="244">
        <v>6.69</v>
      </c>
      <c r="AV159" s="238">
        <v>5676.25</v>
      </c>
      <c r="BF159" s="245" t="str">
        <f t="shared" si="156"/>
        <v>LEUCITE D24</v>
      </c>
      <c r="BG159" s="238" t="s">
        <v>117</v>
      </c>
      <c r="BH159" s="238">
        <v>1.27</v>
      </c>
      <c r="BI159" s="238">
        <v>5712.37</v>
      </c>
      <c r="BK159" s="238" t="s">
        <v>117</v>
      </c>
      <c r="BL159" s="238">
        <v>1.1399999999999999</v>
      </c>
      <c r="BM159" s="238">
        <v>5410.87</v>
      </c>
      <c r="BN159" s="245">
        <f t="shared" si="162"/>
        <v>0</v>
      </c>
      <c r="BO159" s="238" t="s">
        <v>117</v>
      </c>
      <c r="BP159" s="238">
        <v>1.65</v>
      </c>
      <c r="BQ159" s="238">
        <v>4947.5</v>
      </c>
    </row>
    <row r="160" spans="14:69" ht="15" customHeight="1" x14ac:dyDescent="0.25">
      <c r="P160" s="238" t="str">
        <f t="shared" si="161"/>
        <v>ISLAND D24</v>
      </c>
      <c r="R160" s="369" t="s">
        <v>111</v>
      </c>
      <c r="S160" s="370">
        <v>74.61</v>
      </c>
      <c r="T160" s="371">
        <v>5738.88</v>
      </c>
      <c r="V160" s="256" t="s">
        <v>111</v>
      </c>
      <c r="W160" s="256">
        <v>78.209999999999994</v>
      </c>
      <c r="X160" s="256">
        <v>5875.18</v>
      </c>
      <c r="Z160" s="266" t="s">
        <v>111</v>
      </c>
      <c r="AA160" s="266">
        <v>69.44</v>
      </c>
      <c r="AB160" s="238">
        <v>5626.62</v>
      </c>
      <c r="AK160" s="238">
        <f t="shared" si="158"/>
        <v>68.27</v>
      </c>
      <c r="AL160" s="238" t="s">
        <v>111</v>
      </c>
      <c r="AM160" s="238">
        <v>68.27</v>
      </c>
      <c r="AN160" s="238">
        <v>5701.7</v>
      </c>
      <c r="AO160" s="238">
        <f t="shared" si="159"/>
        <v>74.989999999999995</v>
      </c>
      <c r="AP160" s="243" t="s">
        <v>111</v>
      </c>
      <c r="AQ160" s="243">
        <v>74.989999999999995</v>
      </c>
      <c r="AR160" s="243">
        <v>5899.6</v>
      </c>
      <c r="AT160" s="244" t="s">
        <v>111</v>
      </c>
      <c r="AU160" s="244">
        <v>68.59</v>
      </c>
      <c r="AV160" s="238">
        <v>5676.25</v>
      </c>
      <c r="BF160" s="245" t="str">
        <f t="shared" si="156"/>
        <v>LEUCITE PC</v>
      </c>
      <c r="BG160" s="238" t="s">
        <v>51</v>
      </c>
      <c r="BH160" s="238">
        <v>4.2</v>
      </c>
      <c r="BI160" s="238">
        <v>5712.37</v>
      </c>
      <c r="BK160" s="238" t="s">
        <v>51</v>
      </c>
      <c r="BL160" s="238">
        <v>1.62</v>
      </c>
      <c r="BM160" s="238">
        <v>5410.87</v>
      </c>
      <c r="BN160" s="245">
        <f t="shared" si="162"/>
        <v>0</v>
      </c>
      <c r="BO160" s="238" t="s">
        <v>51</v>
      </c>
      <c r="BP160" s="238">
        <v>3.56</v>
      </c>
      <c r="BQ160" s="238">
        <v>4947.5</v>
      </c>
    </row>
    <row r="161" spans="16:69" ht="15" customHeight="1" x14ac:dyDescent="0.25">
      <c r="P161" s="238" t="str">
        <f t="shared" si="161"/>
        <v>ISLAND PC</v>
      </c>
      <c r="R161" s="369" t="s">
        <v>112</v>
      </c>
      <c r="S161" s="370">
        <v>0.89</v>
      </c>
      <c r="T161" s="371">
        <v>5738.88</v>
      </c>
      <c r="V161" s="256" t="s">
        <v>112</v>
      </c>
      <c r="W161" s="256">
        <v>0.54</v>
      </c>
      <c r="X161" s="256">
        <v>5875.18</v>
      </c>
      <c r="Z161" s="266" t="s">
        <v>112</v>
      </c>
      <c r="AA161" s="266">
        <v>0.89</v>
      </c>
      <c r="AB161" s="238">
        <v>5626.62</v>
      </c>
      <c r="AK161" s="238">
        <f t="shared" si="158"/>
        <v>0.79</v>
      </c>
      <c r="AL161" s="238" t="s">
        <v>112</v>
      </c>
      <c r="AM161" s="238">
        <v>0.79</v>
      </c>
      <c r="AN161" s="238">
        <v>5701.7</v>
      </c>
      <c r="AO161" s="238">
        <f t="shared" si="159"/>
        <v>0.86</v>
      </c>
      <c r="AP161" s="243" t="s">
        <v>112</v>
      </c>
      <c r="AQ161" s="243">
        <v>0.86</v>
      </c>
      <c r="AR161" s="243">
        <v>5899.6</v>
      </c>
      <c r="AT161" s="244" t="s">
        <v>112</v>
      </c>
      <c r="AU161" s="244">
        <v>0.87</v>
      </c>
      <c r="AV161" s="238">
        <v>5676.25</v>
      </c>
      <c r="BF161" s="245" t="str">
        <f t="shared" si="156"/>
        <v>MDBXCOMP PC</v>
      </c>
      <c r="BG161" s="238" t="s">
        <v>118</v>
      </c>
      <c r="BH161" s="238">
        <v>0.56999999999999995</v>
      </c>
      <c r="BI161" s="238">
        <v>5712.37</v>
      </c>
      <c r="BK161" s="238" t="s">
        <v>118</v>
      </c>
      <c r="BL161" s="238">
        <v>0.7</v>
      </c>
      <c r="BM161" s="238">
        <v>5410.87</v>
      </c>
      <c r="BN161" s="245">
        <f t="shared" si="162"/>
        <v>0</v>
      </c>
      <c r="BO161" s="238" t="s">
        <v>118</v>
      </c>
      <c r="BP161" s="238">
        <v>0.25</v>
      </c>
      <c r="BQ161" s="238">
        <v>4947.5</v>
      </c>
    </row>
    <row r="162" spans="16:69" ht="15" customHeight="1" x14ac:dyDescent="0.25">
      <c r="P162" s="238" t="str">
        <f t="shared" si="161"/>
        <v>JNSNRDG D24</v>
      </c>
      <c r="R162" s="369" t="s">
        <v>113</v>
      </c>
      <c r="S162" s="370">
        <v>2.73</v>
      </c>
      <c r="T162" s="371">
        <v>5738.88</v>
      </c>
      <c r="V162" s="256" t="s">
        <v>113</v>
      </c>
      <c r="W162" s="256">
        <v>2.8</v>
      </c>
      <c r="X162" s="256">
        <v>5875.18</v>
      </c>
      <c r="Z162" s="266" t="s">
        <v>113</v>
      </c>
      <c r="AA162" s="266">
        <v>2.81</v>
      </c>
      <c r="AB162" s="238">
        <v>5626.62</v>
      </c>
      <c r="AK162" s="238">
        <f t="shared" si="158"/>
        <v>2.4500000000000002</v>
      </c>
      <c r="AL162" s="238" t="s">
        <v>113</v>
      </c>
      <c r="AM162" s="238">
        <v>2.4500000000000002</v>
      </c>
      <c r="AN162" s="238">
        <v>5701.7</v>
      </c>
      <c r="AO162" s="238">
        <f t="shared" si="159"/>
        <v>0.41</v>
      </c>
      <c r="AP162" s="243" t="s">
        <v>113</v>
      </c>
      <c r="AQ162" s="243">
        <v>0.41</v>
      </c>
      <c r="AR162" s="243">
        <v>5899.6</v>
      </c>
      <c r="AT162" s="244" t="s">
        <v>113</v>
      </c>
      <c r="AU162" s="244">
        <v>0.3</v>
      </c>
      <c r="AV162" s="238">
        <v>5676.25</v>
      </c>
      <c r="BF162" s="245" t="str">
        <f t="shared" si="156"/>
        <v>MESA D24</v>
      </c>
      <c r="BG162" s="238" t="s">
        <v>119</v>
      </c>
      <c r="BH162" s="238">
        <v>1179.97</v>
      </c>
      <c r="BI162" s="238">
        <v>5712.37</v>
      </c>
      <c r="BK162" s="238" t="s">
        <v>119</v>
      </c>
      <c r="BL162" s="238">
        <v>1134.49</v>
      </c>
      <c r="BM162" s="238">
        <v>5410.87</v>
      </c>
      <c r="BN162" s="245">
        <f t="shared" si="162"/>
        <v>0</v>
      </c>
      <c r="BO162" s="238" t="s">
        <v>119</v>
      </c>
      <c r="BP162" s="238">
        <v>1089.6500000000001</v>
      </c>
      <c r="BQ162" s="238">
        <v>4947.5</v>
      </c>
    </row>
    <row r="163" spans="16:69" ht="15" customHeight="1" x14ac:dyDescent="0.25">
      <c r="P163" s="238" t="str">
        <f t="shared" si="161"/>
        <v>JNSNRDG PC</v>
      </c>
      <c r="R163" s="369" t="s">
        <v>114</v>
      </c>
      <c r="S163" s="370">
        <v>3.36</v>
      </c>
      <c r="T163" s="371">
        <v>5738.88</v>
      </c>
      <c r="V163" s="256" t="s">
        <v>114</v>
      </c>
      <c r="W163" s="256">
        <v>3.46</v>
      </c>
      <c r="X163" s="256">
        <v>5875.18</v>
      </c>
      <c r="Z163" s="266" t="s">
        <v>114</v>
      </c>
      <c r="AA163" s="266">
        <v>3.55</v>
      </c>
      <c r="AB163" s="238">
        <v>5626.62</v>
      </c>
      <c r="AK163" s="238">
        <f t="shared" si="158"/>
        <v>3.23</v>
      </c>
      <c r="AL163" s="238" t="s">
        <v>114</v>
      </c>
      <c r="AM163" s="238">
        <v>3.23</v>
      </c>
      <c r="AN163" s="238">
        <v>5701.7</v>
      </c>
      <c r="AO163" s="238">
        <f t="shared" si="159"/>
        <v>1.44</v>
      </c>
      <c r="AP163" s="243" t="s">
        <v>114</v>
      </c>
      <c r="AQ163" s="243">
        <v>1.44</v>
      </c>
      <c r="AR163" s="243">
        <v>5899.6</v>
      </c>
      <c r="AT163" s="244" t="s">
        <v>114</v>
      </c>
      <c r="AU163" s="244">
        <v>1.33</v>
      </c>
      <c r="AV163" s="238">
        <v>5676.25</v>
      </c>
      <c r="BF163" s="245" t="str">
        <f t="shared" si="156"/>
        <v>MOSU PW</v>
      </c>
      <c r="BG163" s="238" t="s">
        <v>120</v>
      </c>
      <c r="BH163" s="238">
        <v>0.93</v>
      </c>
      <c r="BI163" s="238">
        <v>5712.37</v>
      </c>
      <c r="BK163" s="238" t="s">
        <v>120</v>
      </c>
      <c r="BL163" s="238">
        <v>0.96</v>
      </c>
      <c r="BM163" s="238">
        <v>5410.87</v>
      </c>
      <c r="BN163" s="245">
        <f t="shared" si="162"/>
        <v>0</v>
      </c>
      <c r="BO163" s="238" t="s">
        <v>120</v>
      </c>
      <c r="BP163" s="238">
        <v>0.83</v>
      </c>
      <c r="BQ163" s="238">
        <v>4947.5</v>
      </c>
    </row>
    <row r="164" spans="16:69" ht="15" customHeight="1" x14ac:dyDescent="0.25">
      <c r="P164" s="238" t="str">
        <f t="shared" si="161"/>
        <v>JRDG WFS D24</v>
      </c>
      <c r="R164" s="369" t="s">
        <v>115</v>
      </c>
      <c r="S164" s="370">
        <v>3.64</v>
      </c>
      <c r="T164" s="371">
        <v>5738.88</v>
      </c>
      <c r="V164" s="256" t="s">
        <v>115</v>
      </c>
      <c r="W164" s="256">
        <v>3.36</v>
      </c>
      <c r="X164" s="256">
        <v>5875.18</v>
      </c>
      <c r="Z164" s="266" t="s">
        <v>115</v>
      </c>
      <c r="AA164" s="266">
        <v>3.27</v>
      </c>
      <c r="AB164" s="238">
        <v>5626.62</v>
      </c>
      <c r="AK164" s="238">
        <f t="shared" si="158"/>
        <v>2.86</v>
      </c>
      <c r="AL164" s="238" t="s">
        <v>115</v>
      </c>
      <c r="AM164" s="238">
        <v>2.86</v>
      </c>
      <c r="AN164" s="238">
        <v>5701.7</v>
      </c>
      <c r="AO164" s="238">
        <f t="shared" si="159"/>
        <v>3.07</v>
      </c>
      <c r="AP164" s="243" t="s">
        <v>115</v>
      </c>
      <c r="AQ164" s="243">
        <v>3.07</v>
      </c>
      <c r="AR164" s="243">
        <v>5899.6</v>
      </c>
      <c r="AT164" s="244" t="s">
        <v>115</v>
      </c>
      <c r="AU164" s="244">
        <v>2.92</v>
      </c>
      <c r="AV164" s="238">
        <v>5676.25</v>
      </c>
      <c r="BF164" s="245" t="str">
        <f t="shared" si="156"/>
        <v>MOSUMT D24</v>
      </c>
      <c r="BG164" s="238" t="s">
        <v>159</v>
      </c>
      <c r="BH164" s="238">
        <v>1.1000000000000001</v>
      </c>
      <c r="BI164" s="238">
        <v>5712.37</v>
      </c>
      <c r="BK164" s="238" t="s">
        <v>159</v>
      </c>
      <c r="BL164" s="238">
        <v>0.89</v>
      </c>
      <c r="BM164" s="238">
        <v>5410.87</v>
      </c>
      <c r="BN164" s="245">
        <f t="shared" si="162"/>
        <v>0</v>
      </c>
      <c r="BO164" s="238" t="s">
        <v>159</v>
      </c>
      <c r="BP164" s="238">
        <v>0.79</v>
      </c>
      <c r="BQ164" s="238">
        <v>4947.5</v>
      </c>
    </row>
    <row r="165" spans="16:69" ht="15" customHeight="1" x14ac:dyDescent="0.25">
      <c r="P165" s="238" t="str">
        <f t="shared" si="161"/>
        <v>KNY FLD D24</v>
      </c>
      <c r="R165" s="369" t="s">
        <v>198</v>
      </c>
      <c r="S165" s="370">
        <v>29.05</v>
      </c>
      <c r="T165" s="371">
        <v>5738.88</v>
      </c>
      <c r="V165" s="256" t="s">
        <v>198</v>
      </c>
      <c r="W165" s="256">
        <v>29.54</v>
      </c>
      <c r="X165" s="256">
        <v>5875.18</v>
      </c>
      <c r="Z165" s="266" t="s">
        <v>198</v>
      </c>
      <c r="AA165" s="266">
        <v>40.18</v>
      </c>
      <c r="AB165" s="238">
        <v>5626.62</v>
      </c>
      <c r="AK165" s="238">
        <f t="shared" si="158"/>
        <v>29.15</v>
      </c>
      <c r="AL165" s="238" t="s">
        <v>198</v>
      </c>
      <c r="AM165" s="238">
        <v>29.15</v>
      </c>
      <c r="AN165" s="238">
        <v>5701.7</v>
      </c>
      <c r="AO165" s="238">
        <f t="shared" si="159"/>
        <v>30.25</v>
      </c>
      <c r="AP165" s="243" t="s">
        <v>198</v>
      </c>
      <c r="AQ165" s="243">
        <v>30.25</v>
      </c>
      <c r="AR165" s="243">
        <v>5899.6</v>
      </c>
      <c r="AT165" s="244" t="s">
        <v>198</v>
      </c>
      <c r="AU165" s="244">
        <v>24.55</v>
      </c>
      <c r="AV165" s="238">
        <v>5676.25</v>
      </c>
      <c r="BF165" s="245" t="str">
        <f t="shared" si="156"/>
        <v>MOSUMT PC</v>
      </c>
      <c r="BG165" s="238" t="s">
        <v>160</v>
      </c>
      <c r="BH165" s="238">
        <v>13.03</v>
      </c>
      <c r="BI165" s="238">
        <v>5712.37</v>
      </c>
      <c r="BK165" s="238" t="s">
        <v>160</v>
      </c>
      <c r="BL165" s="238">
        <v>12.42</v>
      </c>
      <c r="BM165" s="238">
        <v>5410.87</v>
      </c>
      <c r="BN165" s="245">
        <f t="shared" si="162"/>
        <v>0</v>
      </c>
      <c r="BO165" s="238" t="s">
        <v>160</v>
      </c>
      <c r="BP165" s="238">
        <v>11.29</v>
      </c>
      <c r="BQ165" s="238">
        <v>4947.5</v>
      </c>
    </row>
    <row r="166" spans="16:69" ht="15" customHeight="1" x14ac:dyDescent="0.25">
      <c r="P166" s="238" t="str">
        <f t="shared" si="161"/>
        <v>KNY FLD PC</v>
      </c>
      <c r="R166" s="369" t="s">
        <v>116</v>
      </c>
      <c r="S166" s="370">
        <v>5.08</v>
      </c>
      <c r="T166" s="371">
        <v>5738.88</v>
      </c>
      <c r="V166" s="256" t="s">
        <v>116</v>
      </c>
      <c r="W166" s="256">
        <v>5.05</v>
      </c>
      <c r="X166" s="256">
        <v>5875.18</v>
      </c>
      <c r="Z166" s="266" t="s">
        <v>116</v>
      </c>
      <c r="AA166" s="266">
        <v>3.93</v>
      </c>
      <c r="AB166" s="238">
        <v>5626.62</v>
      </c>
      <c r="AK166" s="238">
        <f t="shared" si="158"/>
        <v>4.5199999999999996</v>
      </c>
      <c r="AL166" s="238" t="s">
        <v>116</v>
      </c>
      <c r="AM166" s="238">
        <v>4.5199999999999996</v>
      </c>
      <c r="AN166" s="238">
        <v>5701.7</v>
      </c>
      <c r="AO166" s="238">
        <f t="shared" si="159"/>
        <v>5.95</v>
      </c>
      <c r="AP166" s="243" t="s">
        <v>116</v>
      </c>
      <c r="AQ166" s="243">
        <v>5.95</v>
      </c>
      <c r="AR166" s="243">
        <v>5899.6</v>
      </c>
      <c r="AT166" s="244" t="s">
        <v>116</v>
      </c>
      <c r="AU166" s="244">
        <v>4.8600000000000003</v>
      </c>
      <c r="AV166" s="238">
        <v>5676.25</v>
      </c>
      <c r="BF166" s="245" t="str">
        <f t="shared" si="156"/>
        <v>NBXCAMP PC</v>
      </c>
      <c r="BG166" s="238" t="s">
        <v>121</v>
      </c>
      <c r="BH166" s="238">
        <v>4.16</v>
      </c>
      <c r="BI166" s="238">
        <v>5712.37</v>
      </c>
      <c r="BK166" s="238" t="s">
        <v>121</v>
      </c>
      <c r="BL166" s="238">
        <v>3.79</v>
      </c>
      <c r="BM166" s="238">
        <v>5410.87</v>
      </c>
      <c r="BN166" s="245">
        <f t="shared" si="162"/>
        <v>0</v>
      </c>
      <c r="BO166" s="238" t="s">
        <v>121</v>
      </c>
      <c r="BP166" s="238">
        <v>4.6399999999999997</v>
      </c>
      <c r="BQ166" s="238">
        <v>4947.5</v>
      </c>
    </row>
    <row r="167" spans="16:69" ht="15" customHeight="1" x14ac:dyDescent="0.25">
      <c r="P167" s="238" t="str">
        <f t="shared" si="161"/>
        <v>LEUCITE D24</v>
      </c>
      <c r="R167" s="369" t="s">
        <v>117</v>
      </c>
      <c r="S167" s="370">
        <v>1.64</v>
      </c>
      <c r="T167" s="371">
        <v>5738.88</v>
      </c>
      <c r="V167" s="256" t="s">
        <v>117</v>
      </c>
      <c r="W167" s="256">
        <v>1.68</v>
      </c>
      <c r="X167" s="256">
        <v>5875.18</v>
      </c>
      <c r="Z167" s="266" t="s">
        <v>117</v>
      </c>
      <c r="AA167" s="266">
        <v>2.2599999999999998</v>
      </c>
      <c r="AB167" s="238">
        <v>5626.62</v>
      </c>
      <c r="AK167" s="238">
        <f t="shared" si="158"/>
        <v>2.76</v>
      </c>
      <c r="AL167" s="238" t="s">
        <v>117</v>
      </c>
      <c r="AM167" s="238">
        <v>2.76</v>
      </c>
      <c r="AN167" s="238">
        <v>5701.7</v>
      </c>
      <c r="AO167" s="238">
        <f t="shared" si="159"/>
        <v>2.61</v>
      </c>
      <c r="AP167" s="243" t="s">
        <v>117</v>
      </c>
      <c r="AQ167" s="243">
        <v>2.61</v>
      </c>
      <c r="AR167" s="243">
        <v>5899.6</v>
      </c>
      <c r="AT167" s="244" t="s">
        <v>117</v>
      </c>
      <c r="AU167" s="244">
        <v>2.38</v>
      </c>
      <c r="AV167" s="238">
        <v>5676.25</v>
      </c>
      <c r="BF167" s="245" t="str">
        <f t="shared" si="156"/>
        <v>NOBXFLD PC</v>
      </c>
      <c r="BG167" s="238" t="s">
        <v>122</v>
      </c>
      <c r="BH167" s="238">
        <v>2.1800000000000002</v>
      </c>
      <c r="BI167" s="238">
        <v>5712.37</v>
      </c>
      <c r="BK167" s="238" t="s">
        <v>122</v>
      </c>
      <c r="BL167" s="238">
        <v>2.2999999999999998</v>
      </c>
      <c r="BM167" s="238">
        <v>5410.87</v>
      </c>
      <c r="BN167" s="245">
        <f t="shared" si="162"/>
        <v>0</v>
      </c>
      <c r="BO167" s="238" t="s">
        <v>122</v>
      </c>
      <c r="BP167" s="238">
        <v>1.64</v>
      </c>
      <c r="BQ167" s="238">
        <v>4947.5</v>
      </c>
    </row>
    <row r="168" spans="16:69" ht="15" customHeight="1" x14ac:dyDescent="0.25">
      <c r="P168" s="238" t="str">
        <f t="shared" si="161"/>
        <v>LEUCITE PC</v>
      </c>
      <c r="R168" s="369" t="s">
        <v>51</v>
      </c>
      <c r="S168" s="370">
        <v>3.99</v>
      </c>
      <c r="T168" s="371">
        <v>5738.88</v>
      </c>
      <c r="V168" s="256" t="s">
        <v>51</v>
      </c>
      <c r="W168" s="256">
        <v>5.53</v>
      </c>
      <c r="X168" s="256">
        <v>5875.18</v>
      </c>
      <c r="Z168" s="266" t="s">
        <v>51</v>
      </c>
      <c r="AA168" s="266">
        <v>2.82</v>
      </c>
      <c r="AB168" s="238">
        <v>5626.62</v>
      </c>
      <c r="AK168" s="238">
        <f t="shared" si="158"/>
        <v>2.54</v>
      </c>
      <c r="AL168" s="238" t="s">
        <v>51</v>
      </c>
      <c r="AM168" s="238">
        <v>2.54</v>
      </c>
      <c r="AN168" s="238">
        <v>5701.7</v>
      </c>
      <c r="AO168" s="238">
        <f t="shared" si="159"/>
        <v>2.1800000000000002</v>
      </c>
      <c r="AP168" s="243" t="s">
        <v>51</v>
      </c>
      <c r="AQ168" s="243">
        <v>2.1800000000000002</v>
      </c>
      <c r="AR168" s="243">
        <v>5899.6</v>
      </c>
      <c r="AT168" s="244" t="s">
        <v>51</v>
      </c>
      <c r="AU168" s="244">
        <v>2.5099999999999998</v>
      </c>
      <c r="AV168" s="238">
        <v>5676.25</v>
      </c>
      <c r="BF168" s="245" t="str">
        <f t="shared" si="156"/>
        <v>PDW1A1B D21</v>
      </c>
      <c r="BG168" s="238" t="s">
        <v>142</v>
      </c>
      <c r="BH168" s="238">
        <v>0.74</v>
      </c>
      <c r="BI168" s="238">
        <v>5712.37</v>
      </c>
      <c r="BK168" s="238" t="s">
        <v>142</v>
      </c>
      <c r="BL168" s="238">
        <v>0.54</v>
      </c>
      <c r="BM168" s="238">
        <v>5410.87</v>
      </c>
      <c r="BN168" s="245">
        <f t="shared" si="162"/>
        <v>0</v>
      </c>
      <c r="BO168" s="238" t="s">
        <v>142</v>
      </c>
      <c r="BP168" s="238">
        <v>0.64</v>
      </c>
      <c r="BQ168" s="238">
        <v>4947.5</v>
      </c>
    </row>
    <row r="169" spans="16:69" ht="15" customHeight="1" x14ac:dyDescent="0.25">
      <c r="P169" s="238" t="str">
        <f t="shared" si="161"/>
        <v>MDBXCOMP PC</v>
      </c>
      <c r="R169" s="369" t="s">
        <v>118</v>
      </c>
      <c r="S169" s="370">
        <v>0.51</v>
      </c>
      <c r="T169" s="371">
        <v>5738.88</v>
      </c>
      <c r="V169" s="256" t="s">
        <v>118</v>
      </c>
      <c r="W169" s="256">
        <v>0.61</v>
      </c>
      <c r="X169" s="256">
        <v>5875.18</v>
      </c>
      <c r="Z169" s="266" t="s">
        <v>118</v>
      </c>
      <c r="AA169" s="266">
        <v>0.06</v>
      </c>
      <c r="AB169" s="238">
        <v>5626.62</v>
      </c>
      <c r="AK169" s="238">
        <f t="shared" si="158"/>
        <v>0.39</v>
      </c>
      <c r="AL169" s="238" t="s">
        <v>118</v>
      </c>
      <c r="AM169" s="238">
        <v>0.39</v>
      </c>
      <c r="AN169" s="238">
        <v>5701.7</v>
      </c>
      <c r="AO169" s="238">
        <f t="shared" si="159"/>
        <v>0.67</v>
      </c>
      <c r="AP169" s="243" t="s">
        <v>118</v>
      </c>
      <c r="AQ169" s="243">
        <v>0.67</v>
      </c>
      <c r="AR169" s="243">
        <v>5899.6</v>
      </c>
      <c r="AT169" s="244" t="s">
        <v>118</v>
      </c>
      <c r="AU169" s="244">
        <v>0.51</v>
      </c>
      <c r="AV169" s="238">
        <v>5676.25</v>
      </c>
      <c r="BF169" s="245" t="str">
        <f t="shared" si="156"/>
        <v>PDW1A1B D24</v>
      </c>
      <c r="BG169" s="238" t="s">
        <v>123</v>
      </c>
      <c r="BH169" s="238">
        <v>1.78</v>
      </c>
      <c r="BI169" s="238">
        <v>5712.37</v>
      </c>
      <c r="BK169" s="238" t="s">
        <v>123</v>
      </c>
      <c r="BL169" s="238">
        <v>1.53</v>
      </c>
      <c r="BM169" s="238">
        <v>5410.87</v>
      </c>
      <c r="BN169" s="245">
        <f t="shared" si="162"/>
        <v>0</v>
      </c>
      <c r="BO169" s="238" t="s">
        <v>123</v>
      </c>
      <c r="BP169" s="238">
        <v>2.06</v>
      </c>
      <c r="BQ169" s="238">
        <v>4947.5</v>
      </c>
    </row>
    <row r="170" spans="16:69" ht="15" customHeight="1" x14ac:dyDescent="0.25">
      <c r="P170" s="238" t="str">
        <f t="shared" si="161"/>
        <v>MESA D24</v>
      </c>
      <c r="R170" s="369" t="s">
        <v>119</v>
      </c>
      <c r="S170" s="370">
        <v>1344.82</v>
      </c>
      <c r="T170" s="371">
        <v>5738.88</v>
      </c>
      <c r="V170" s="256" t="s">
        <v>119</v>
      </c>
      <c r="W170" s="256">
        <v>1351.17</v>
      </c>
      <c r="X170" s="256">
        <v>5875.18</v>
      </c>
      <c r="Z170" s="266" t="s">
        <v>119</v>
      </c>
      <c r="AA170" s="266">
        <v>1322.14</v>
      </c>
      <c r="AB170" s="238">
        <v>5626.62</v>
      </c>
      <c r="AK170" s="238">
        <f t="shared" si="158"/>
        <v>1269.5899999999999</v>
      </c>
      <c r="AL170" s="238" t="s">
        <v>119</v>
      </c>
      <c r="AM170" s="238">
        <v>1269.5899999999999</v>
      </c>
      <c r="AN170" s="238">
        <v>5701.7</v>
      </c>
      <c r="AO170" s="238">
        <f t="shared" si="159"/>
        <v>1254.0899999999999</v>
      </c>
      <c r="AP170" s="243" t="s">
        <v>119</v>
      </c>
      <c r="AQ170" s="243">
        <v>1254.0899999999999</v>
      </c>
      <c r="AR170" s="243">
        <v>5899.6</v>
      </c>
      <c r="AT170" s="244" t="s">
        <v>119</v>
      </c>
      <c r="AU170" s="244">
        <v>1170.1199999999999</v>
      </c>
      <c r="AV170" s="238">
        <v>5676.25</v>
      </c>
      <c r="BF170" s="245" t="str">
        <f t="shared" si="156"/>
        <v>PDW1A1B PC</v>
      </c>
      <c r="BG170" s="238" t="s">
        <v>124</v>
      </c>
      <c r="BH170" s="238">
        <v>20.9</v>
      </c>
      <c r="BI170" s="238">
        <v>5712.37</v>
      </c>
      <c r="BK170" s="238" t="s">
        <v>124</v>
      </c>
      <c r="BL170" s="238">
        <v>18.420000000000002</v>
      </c>
      <c r="BM170" s="238">
        <v>5410.87</v>
      </c>
      <c r="BN170" s="245">
        <f t="shared" si="162"/>
        <v>0</v>
      </c>
      <c r="BO170" s="238" t="s">
        <v>124</v>
      </c>
      <c r="BP170" s="238">
        <v>19.48</v>
      </c>
      <c r="BQ170" s="238">
        <v>4947.5</v>
      </c>
    </row>
    <row r="171" spans="16:69" ht="15" customHeight="1" x14ac:dyDescent="0.25">
      <c r="P171" s="238" t="str">
        <f t="shared" si="161"/>
        <v>MOSU PW</v>
      </c>
      <c r="R171" s="369" t="s">
        <v>120</v>
      </c>
      <c r="S171" s="370">
        <v>0.26</v>
      </c>
      <c r="T171" s="371">
        <v>5738.88</v>
      </c>
      <c r="V171" s="256" t="s">
        <v>120</v>
      </c>
      <c r="W171" s="256">
        <v>0.56999999999999995</v>
      </c>
      <c r="X171" s="256">
        <v>5875.18</v>
      </c>
      <c r="Z171" s="266" t="s">
        <v>120</v>
      </c>
      <c r="AA171" s="266">
        <v>1.17</v>
      </c>
      <c r="AB171" s="238">
        <v>5626.62</v>
      </c>
      <c r="AK171" s="238">
        <f t="shared" si="158"/>
        <v>1.1100000000000001</v>
      </c>
      <c r="AL171" s="238" t="s">
        <v>120</v>
      </c>
      <c r="AM171" s="238">
        <v>1.1100000000000001</v>
      </c>
      <c r="AN171" s="238">
        <v>5701.7</v>
      </c>
      <c r="AO171" s="238">
        <f t="shared" si="159"/>
        <v>0.92</v>
      </c>
      <c r="AP171" s="243" t="s">
        <v>120</v>
      </c>
      <c r="AQ171" s="243">
        <v>0.92</v>
      </c>
      <c r="AR171" s="243">
        <v>5899.6</v>
      </c>
      <c r="AT171" s="244" t="s">
        <v>120</v>
      </c>
      <c r="AU171" s="244">
        <v>0.86</v>
      </c>
      <c r="AV171" s="238">
        <v>5676.25</v>
      </c>
      <c r="BF171" s="245" t="str">
        <f t="shared" si="156"/>
        <v>PDWCUT D24</v>
      </c>
      <c r="BG171" s="238" t="s">
        <v>125</v>
      </c>
      <c r="BH171" s="238">
        <v>131.79</v>
      </c>
      <c r="BI171" s="238">
        <v>5712.37</v>
      </c>
      <c r="BK171" s="238" t="s">
        <v>125</v>
      </c>
      <c r="BL171" s="238">
        <v>129.25</v>
      </c>
      <c r="BM171" s="238">
        <v>5410.87</v>
      </c>
      <c r="BN171" s="245">
        <f t="shared" si="162"/>
        <v>0</v>
      </c>
      <c r="BO171" s="238" t="s">
        <v>125</v>
      </c>
      <c r="BP171" s="238">
        <v>114.42</v>
      </c>
      <c r="BQ171" s="238">
        <v>4947.5</v>
      </c>
    </row>
    <row r="172" spans="16:69" ht="15" customHeight="1" x14ac:dyDescent="0.25">
      <c r="P172" s="238" t="str">
        <f t="shared" si="161"/>
        <v>MOSUMT D24</v>
      </c>
      <c r="R172" s="369" t="s">
        <v>159</v>
      </c>
      <c r="S172" s="370">
        <v>0.88</v>
      </c>
      <c r="T172" s="371">
        <v>5738.88</v>
      </c>
      <c r="V172" s="256" t="s">
        <v>159</v>
      </c>
      <c r="W172" s="256">
        <v>1.68</v>
      </c>
      <c r="X172" s="256">
        <v>5875.18</v>
      </c>
      <c r="Z172" s="266" t="s">
        <v>159</v>
      </c>
      <c r="AA172" s="266">
        <v>1.37</v>
      </c>
      <c r="AB172" s="238">
        <v>5626.62</v>
      </c>
      <c r="AK172" s="238">
        <f t="shared" si="158"/>
        <v>1.56</v>
      </c>
      <c r="AL172" s="238" t="s">
        <v>159</v>
      </c>
      <c r="AM172" s="238">
        <v>1.56</v>
      </c>
      <c r="AN172" s="238">
        <v>5701.7</v>
      </c>
      <c r="AO172" s="238">
        <f t="shared" si="159"/>
        <v>1.56</v>
      </c>
      <c r="AP172" s="243" t="s">
        <v>159</v>
      </c>
      <c r="AQ172" s="243">
        <v>1.56</v>
      </c>
      <c r="AR172" s="243">
        <v>5899.6</v>
      </c>
      <c r="AT172" s="244" t="s">
        <v>159</v>
      </c>
      <c r="AU172" s="244">
        <v>1.39</v>
      </c>
      <c r="AV172" s="238">
        <v>5676.25</v>
      </c>
      <c r="BF172" s="245" t="str">
        <f t="shared" si="156"/>
        <v>PDWCUT PC</v>
      </c>
      <c r="BG172" s="238" t="s">
        <v>126</v>
      </c>
      <c r="BH172" s="238">
        <v>3.68</v>
      </c>
      <c r="BI172" s="238">
        <v>5712.37</v>
      </c>
      <c r="BK172" s="238" t="s">
        <v>126</v>
      </c>
      <c r="BL172" s="238">
        <v>2.74</v>
      </c>
      <c r="BM172" s="238">
        <v>5410.87</v>
      </c>
      <c r="BN172" s="245">
        <f t="shared" si="162"/>
        <v>0</v>
      </c>
      <c r="BO172" s="238" t="s">
        <v>126</v>
      </c>
      <c r="BP172" s="238">
        <v>2.81</v>
      </c>
      <c r="BQ172" s="238">
        <v>4947.5</v>
      </c>
    </row>
    <row r="173" spans="16:69" ht="15" customHeight="1" x14ac:dyDescent="0.25">
      <c r="P173" s="238" t="str">
        <f t="shared" si="161"/>
        <v>MOSUMT PC</v>
      </c>
      <c r="R173" s="369" t="s">
        <v>160</v>
      </c>
      <c r="S173" s="370">
        <v>12.97</v>
      </c>
      <c r="T173" s="371">
        <v>5738.88</v>
      </c>
      <c r="V173" s="256" t="s">
        <v>160</v>
      </c>
      <c r="W173" s="256">
        <v>12.09</v>
      </c>
      <c r="X173" s="256">
        <v>5875.18</v>
      </c>
      <c r="Z173" s="266" t="s">
        <v>160</v>
      </c>
      <c r="AA173" s="266">
        <v>13.37</v>
      </c>
      <c r="AB173" s="238">
        <v>5626.62</v>
      </c>
      <c r="AK173" s="238">
        <f t="shared" si="158"/>
        <v>12.49</v>
      </c>
      <c r="AL173" s="238" t="s">
        <v>160</v>
      </c>
      <c r="AM173" s="238">
        <v>12.49</v>
      </c>
      <c r="AN173" s="238">
        <v>5701.7</v>
      </c>
      <c r="AO173" s="238">
        <f t="shared" si="159"/>
        <v>13.17</v>
      </c>
      <c r="AP173" s="243" t="s">
        <v>160</v>
      </c>
      <c r="AQ173" s="243">
        <v>13.17</v>
      </c>
      <c r="AR173" s="243">
        <v>5899.6</v>
      </c>
      <c r="AT173" s="244" t="s">
        <v>160</v>
      </c>
      <c r="AU173" s="244">
        <v>12.45</v>
      </c>
      <c r="AV173" s="238">
        <v>5676.25</v>
      </c>
      <c r="BF173" s="245" t="str">
        <f t="shared" si="156"/>
        <v>PDWMT D24</v>
      </c>
      <c r="BG173" s="238" t="s">
        <v>127</v>
      </c>
      <c r="BH173" s="238">
        <v>44.06</v>
      </c>
      <c r="BI173" s="238">
        <v>5712.37</v>
      </c>
      <c r="BK173" s="238" t="s">
        <v>127</v>
      </c>
      <c r="BL173" s="238">
        <v>32.51</v>
      </c>
      <c r="BM173" s="238">
        <v>5410.87</v>
      </c>
      <c r="BN173" s="245">
        <f t="shared" si="162"/>
        <v>0</v>
      </c>
      <c r="BO173" s="238" t="s">
        <v>127</v>
      </c>
      <c r="BP173" s="238">
        <v>29.49</v>
      </c>
      <c r="BQ173" s="238">
        <v>4947.5</v>
      </c>
    </row>
    <row r="174" spans="16:69" ht="15" customHeight="1" x14ac:dyDescent="0.25">
      <c r="P174" s="238" t="str">
        <f t="shared" si="161"/>
        <v>NBXCAMP PC</v>
      </c>
      <c r="R174" s="369" t="s">
        <v>121</v>
      </c>
      <c r="S174" s="370">
        <v>3.38</v>
      </c>
      <c r="T174" s="371">
        <v>5738.88</v>
      </c>
      <c r="V174" s="256" t="s">
        <v>121</v>
      </c>
      <c r="W174" s="256">
        <v>3.5</v>
      </c>
      <c r="X174" s="256">
        <v>5875.18</v>
      </c>
      <c r="Z174" s="266" t="s">
        <v>121</v>
      </c>
      <c r="AA174" s="266">
        <v>2.41</v>
      </c>
      <c r="AB174" s="238">
        <v>5626.62</v>
      </c>
      <c r="AK174" s="238">
        <f t="shared" si="158"/>
        <v>3.85</v>
      </c>
      <c r="AL174" s="238" t="s">
        <v>121</v>
      </c>
      <c r="AM174" s="238">
        <v>3.85</v>
      </c>
      <c r="AN174" s="238">
        <v>5701.7</v>
      </c>
      <c r="AO174" s="238">
        <f t="shared" si="159"/>
        <v>4.05</v>
      </c>
      <c r="AP174" s="243" t="s">
        <v>121</v>
      </c>
      <c r="AQ174" s="243">
        <v>4.05</v>
      </c>
      <c r="AR174" s="243">
        <v>5899.6</v>
      </c>
      <c r="AT174" s="244" t="s">
        <v>121</v>
      </c>
      <c r="AU174" s="244">
        <v>5.0199999999999996</v>
      </c>
      <c r="AV174" s="238">
        <v>5676.25</v>
      </c>
      <c r="BF174" s="245" t="str">
        <f t="shared" si="156"/>
        <v>PDWPLT2 D24</v>
      </c>
      <c r="BG174" s="238" t="s">
        <v>128</v>
      </c>
      <c r="BH174" s="238">
        <v>94.87</v>
      </c>
      <c r="BI174" s="238">
        <v>5712.37</v>
      </c>
      <c r="BK174" s="238" t="s">
        <v>128</v>
      </c>
      <c r="BL174" s="238">
        <v>87.87</v>
      </c>
      <c r="BM174" s="238">
        <v>5410.87</v>
      </c>
      <c r="BN174" s="245">
        <f t="shared" si="162"/>
        <v>0</v>
      </c>
      <c r="BO174" s="238" t="s">
        <v>128</v>
      </c>
      <c r="BP174" s="238">
        <v>75.680000000000007</v>
      </c>
      <c r="BQ174" s="238">
        <v>4947.5</v>
      </c>
    </row>
    <row r="175" spans="16:69" ht="15" customHeight="1" x14ac:dyDescent="0.25">
      <c r="P175" s="238" t="str">
        <f t="shared" si="161"/>
        <v>NOBXFLD PC</v>
      </c>
      <c r="R175" s="369" t="s">
        <v>122</v>
      </c>
      <c r="S175" s="370">
        <v>1.84</v>
      </c>
      <c r="T175" s="371">
        <v>5738.88</v>
      </c>
      <c r="V175" s="256" t="s">
        <v>122</v>
      </c>
      <c r="W175" s="256">
        <v>2.75</v>
      </c>
      <c r="X175" s="256">
        <v>5875.18</v>
      </c>
      <c r="Z175" s="266" t="s">
        <v>122</v>
      </c>
      <c r="AA175" s="266">
        <v>0.15</v>
      </c>
      <c r="AB175" s="238">
        <v>5626.62</v>
      </c>
      <c r="AK175" s="238">
        <f t="shared" si="158"/>
        <v>1.52</v>
      </c>
      <c r="AL175" s="238" t="s">
        <v>122</v>
      </c>
      <c r="AM175" s="238">
        <v>1.52</v>
      </c>
      <c r="AN175" s="238">
        <v>5701.7</v>
      </c>
      <c r="AO175" s="238">
        <f t="shared" si="159"/>
        <v>3.74</v>
      </c>
      <c r="AP175" s="243" t="s">
        <v>122</v>
      </c>
      <c r="AQ175" s="243">
        <v>3.74</v>
      </c>
      <c r="AR175" s="243">
        <v>5899.6</v>
      </c>
      <c r="AT175" s="244" t="s">
        <v>122</v>
      </c>
      <c r="AU175" s="244">
        <v>2.63</v>
      </c>
      <c r="AV175" s="238">
        <v>5676.25</v>
      </c>
      <c r="BF175" s="245" t="str">
        <f t="shared" si="156"/>
        <v>PDWPLT2 PC</v>
      </c>
      <c r="BG175" s="238" t="s">
        <v>129</v>
      </c>
      <c r="BH175" s="238">
        <v>25.32</v>
      </c>
      <c r="BI175" s="238">
        <v>5712.37</v>
      </c>
      <c r="BK175" s="238" t="s">
        <v>129</v>
      </c>
      <c r="BL175" s="238">
        <v>20.87</v>
      </c>
      <c r="BM175" s="238">
        <v>5410.87</v>
      </c>
      <c r="BN175" s="245">
        <f t="shared" si="162"/>
        <v>0</v>
      </c>
      <c r="BO175" s="238" t="s">
        <v>129</v>
      </c>
      <c r="BP175" s="238">
        <v>19.71</v>
      </c>
      <c r="BQ175" s="238">
        <v>4947.5</v>
      </c>
    </row>
    <row r="176" spans="16:69" ht="15" customHeight="1" x14ac:dyDescent="0.25">
      <c r="P176" s="238" t="str">
        <f t="shared" si="161"/>
        <v>PDW1A1B D21</v>
      </c>
      <c r="R176" s="369" t="s">
        <v>142</v>
      </c>
      <c r="S176" s="370">
        <v>0.98</v>
      </c>
      <c r="T176" s="371">
        <v>5738.88</v>
      </c>
      <c r="V176" s="256" t="s">
        <v>142</v>
      </c>
      <c r="W176" s="256">
        <v>0.87</v>
      </c>
      <c r="X176" s="256">
        <v>5875.18</v>
      </c>
      <c r="Z176" s="266" t="s">
        <v>142</v>
      </c>
      <c r="AA176" s="266">
        <v>0.8</v>
      </c>
      <c r="AB176" s="238">
        <v>5626.62</v>
      </c>
      <c r="AK176" s="238">
        <f t="shared" si="158"/>
        <v>0.78</v>
      </c>
      <c r="AL176" s="238" t="s">
        <v>142</v>
      </c>
      <c r="AM176" s="238">
        <v>0.78</v>
      </c>
      <c r="AN176" s="238">
        <v>5701.7</v>
      </c>
      <c r="AO176" s="238">
        <f t="shared" si="159"/>
        <v>0.9</v>
      </c>
      <c r="AP176" s="243" t="s">
        <v>142</v>
      </c>
      <c r="AQ176" s="243">
        <v>0.9</v>
      </c>
      <c r="AR176" s="243">
        <v>5899.6</v>
      </c>
      <c r="AT176" s="244" t="s">
        <v>142</v>
      </c>
      <c r="AU176" s="244">
        <v>0.77</v>
      </c>
      <c r="AV176" s="238">
        <v>5676.25</v>
      </c>
      <c r="BF176" s="245" t="str">
        <f t="shared" ref="BF176:BF195" si="163">VLOOKUP(BG176,$BO$6:$BO$102,1,FALSE)</f>
        <v>PDWPLT3 D24</v>
      </c>
      <c r="BG176" s="238" t="s">
        <v>130</v>
      </c>
      <c r="BH176" s="238">
        <v>7.49</v>
      </c>
      <c r="BI176" s="238">
        <v>5712.37</v>
      </c>
      <c r="BK176" s="238" t="s">
        <v>130</v>
      </c>
      <c r="BL176" s="238">
        <v>9.5500000000000007</v>
      </c>
      <c r="BM176" s="238">
        <v>5410.87</v>
      </c>
      <c r="BN176" s="245">
        <f t="shared" si="162"/>
        <v>0</v>
      </c>
      <c r="BO176" s="238" t="s">
        <v>130</v>
      </c>
      <c r="BP176" s="238">
        <v>15.22</v>
      </c>
      <c r="BQ176" s="238">
        <v>4947.5</v>
      </c>
    </row>
    <row r="177" spans="16:69" ht="15" customHeight="1" x14ac:dyDescent="0.25">
      <c r="P177" s="238" t="str">
        <f t="shared" si="161"/>
        <v>PDW1A1B D24</v>
      </c>
      <c r="R177" s="369" t="s">
        <v>123</v>
      </c>
      <c r="S177" s="370">
        <v>2.46</v>
      </c>
      <c r="T177" s="371">
        <v>5738.88</v>
      </c>
      <c r="V177" s="256" t="s">
        <v>123</v>
      </c>
      <c r="W177" s="256">
        <v>2.76</v>
      </c>
      <c r="X177" s="256">
        <v>5875.18</v>
      </c>
      <c r="Z177" s="266" t="s">
        <v>123</v>
      </c>
      <c r="AA177" s="266">
        <v>2.7</v>
      </c>
      <c r="AB177" s="238">
        <v>5626.62</v>
      </c>
      <c r="AK177" s="238">
        <f t="shared" si="158"/>
        <v>2.4500000000000002</v>
      </c>
      <c r="AL177" s="238" t="s">
        <v>123</v>
      </c>
      <c r="AM177" s="238">
        <v>2.4500000000000002</v>
      </c>
      <c r="AN177" s="238">
        <v>5701.7</v>
      </c>
      <c r="AO177" s="238">
        <f t="shared" si="159"/>
        <v>2.23</v>
      </c>
      <c r="AP177" s="243" t="s">
        <v>123</v>
      </c>
      <c r="AQ177" s="243">
        <v>2.23</v>
      </c>
      <c r="AR177" s="243">
        <v>5899.6</v>
      </c>
      <c r="AT177" s="244" t="s">
        <v>123</v>
      </c>
      <c r="AU177" s="244">
        <v>2.29</v>
      </c>
      <c r="AV177" s="238">
        <v>5676.25</v>
      </c>
      <c r="BF177" s="245" t="str">
        <f t="shared" si="163"/>
        <v>PDWPLT3 PC</v>
      </c>
      <c r="BG177" s="238" t="s">
        <v>131</v>
      </c>
      <c r="BH177" s="238">
        <v>9.2200000000000006</v>
      </c>
      <c r="BI177" s="238">
        <v>5712.37</v>
      </c>
      <c r="BK177" s="238" t="s">
        <v>131</v>
      </c>
      <c r="BL177" s="238">
        <v>6.8</v>
      </c>
      <c r="BM177" s="238">
        <v>5410.87</v>
      </c>
      <c r="BN177" s="245">
        <f t="shared" si="162"/>
        <v>0</v>
      </c>
      <c r="BO177" s="238" t="s">
        <v>131</v>
      </c>
      <c r="BP177" s="238">
        <v>8.26</v>
      </c>
      <c r="BQ177" s="238">
        <v>4947.5</v>
      </c>
    </row>
    <row r="178" spans="16:69" ht="15" customHeight="1" x14ac:dyDescent="0.25">
      <c r="P178" s="238" t="str">
        <f t="shared" si="161"/>
        <v>PDW1A1B PC</v>
      </c>
      <c r="R178" s="369" t="s">
        <v>124</v>
      </c>
      <c r="S178" s="370">
        <v>22.78</v>
      </c>
      <c r="T178" s="371">
        <v>5738.88</v>
      </c>
      <c r="V178" s="256" t="s">
        <v>124</v>
      </c>
      <c r="W178" s="256">
        <v>23.5</v>
      </c>
      <c r="X178" s="256">
        <v>5875.18</v>
      </c>
      <c r="Z178" s="266" t="s">
        <v>124</v>
      </c>
      <c r="AA178" s="266">
        <v>22.19</v>
      </c>
      <c r="AB178" s="238">
        <v>5626.62</v>
      </c>
      <c r="AK178" s="238">
        <f t="shared" si="158"/>
        <v>22.35</v>
      </c>
      <c r="AL178" s="238" t="s">
        <v>124</v>
      </c>
      <c r="AM178" s="238">
        <v>22.35</v>
      </c>
      <c r="AN178" s="238">
        <v>5701.7</v>
      </c>
      <c r="AO178" s="238">
        <f t="shared" si="159"/>
        <v>23.56</v>
      </c>
      <c r="AP178" s="243" t="s">
        <v>124</v>
      </c>
      <c r="AQ178" s="243">
        <v>23.56</v>
      </c>
      <c r="AR178" s="243">
        <v>5899.6</v>
      </c>
      <c r="AT178" s="244" t="s">
        <v>124</v>
      </c>
      <c r="AU178" s="244">
        <v>21.98</v>
      </c>
      <c r="AV178" s="238">
        <v>5676.25</v>
      </c>
      <c r="BF178" s="245" t="str">
        <f t="shared" si="163"/>
        <v>RBTMTN D24</v>
      </c>
      <c r="BG178" s="238" t="s">
        <v>132</v>
      </c>
      <c r="BH178" s="238">
        <v>0.56000000000000005</v>
      </c>
      <c r="BI178" s="238">
        <v>5712.37</v>
      </c>
      <c r="BK178" s="238" t="s">
        <v>132</v>
      </c>
      <c r="BL178" s="238">
        <v>0.42</v>
      </c>
      <c r="BM178" s="238">
        <v>5410.87</v>
      </c>
      <c r="BN178" s="245">
        <f t="shared" si="162"/>
        <v>0</v>
      </c>
      <c r="BO178" s="238" t="s">
        <v>132</v>
      </c>
      <c r="BP178" s="238">
        <v>0.27</v>
      </c>
      <c r="BQ178" s="238">
        <v>4947.5</v>
      </c>
    </row>
    <row r="179" spans="16:69" ht="15" customHeight="1" x14ac:dyDescent="0.25">
      <c r="P179" s="238" t="str">
        <f t="shared" si="161"/>
        <v>PDWCUT D24</v>
      </c>
      <c r="R179" s="369" t="s">
        <v>125</v>
      </c>
      <c r="S179" s="370">
        <v>155.15</v>
      </c>
      <c r="T179" s="371">
        <v>5738.88</v>
      </c>
      <c r="V179" s="256" t="s">
        <v>125</v>
      </c>
      <c r="W179" s="256">
        <v>155.38</v>
      </c>
      <c r="X179" s="256">
        <v>5875.18</v>
      </c>
      <c r="Z179" s="266" t="s">
        <v>125</v>
      </c>
      <c r="AA179" s="266">
        <v>149.71</v>
      </c>
      <c r="AB179" s="238">
        <v>5626.62</v>
      </c>
      <c r="AK179" s="238">
        <f t="shared" si="158"/>
        <v>137.09</v>
      </c>
      <c r="AL179" s="238" t="s">
        <v>125</v>
      </c>
      <c r="AM179" s="238">
        <v>137.09</v>
      </c>
      <c r="AN179" s="238">
        <v>5701.7</v>
      </c>
      <c r="AO179" s="238">
        <f t="shared" si="159"/>
        <v>132.26</v>
      </c>
      <c r="AP179" s="243" t="s">
        <v>125</v>
      </c>
      <c r="AQ179" s="243">
        <v>132.26</v>
      </c>
      <c r="AR179" s="243">
        <v>5899.6</v>
      </c>
      <c r="AT179" s="244" t="s">
        <v>125</v>
      </c>
      <c r="AU179" s="244">
        <v>135.18</v>
      </c>
      <c r="AV179" s="238">
        <v>5676.25</v>
      </c>
      <c r="BF179" s="245" t="str">
        <f t="shared" si="163"/>
        <v>RBTMTN PC</v>
      </c>
      <c r="BG179" s="238" t="s">
        <v>133</v>
      </c>
      <c r="BH179" s="238">
        <v>3.48</v>
      </c>
      <c r="BI179" s="238">
        <v>5712.37</v>
      </c>
      <c r="BK179" s="238" t="s">
        <v>133</v>
      </c>
      <c r="BL179" s="238">
        <v>2.7</v>
      </c>
      <c r="BM179" s="238">
        <v>5410.87</v>
      </c>
      <c r="BN179" s="245">
        <f t="shared" si="162"/>
        <v>0</v>
      </c>
      <c r="BO179" s="238" t="s">
        <v>133</v>
      </c>
      <c r="BP179" s="238">
        <v>1.97</v>
      </c>
      <c r="BQ179" s="238">
        <v>4947.5</v>
      </c>
    </row>
    <row r="180" spans="16:69" ht="15" customHeight="1" x14ac:dyDescent="0.25">
      <c r="P180" s="238" t="str">
        <f t="shared" si="161"/>
        <v>PDWCUT PC</v>
      </c>
      <c r="R180" s="369" t="s">
        <v>126</v>
      </c>
      <c r="S180" s="370">
        <v>4.95</v>
      </c>
      <c r="T180" s="371">
        <v>5738.88</v>
      </c>
      <c r="V180" s="256" t="s">
        <v>126</v>
      </c>
      <c r="W180" s="256">
        <v>5.27</v>
      </c>
      <c r="X180" s="256">
        <v>5875.18</v>
      </c>
      <c r="Z180" s="266" t="s">
        <v>126</v>
      </c>
      <c r="AA180" s="266">
        <v>5.32</v>
      </c>
      <c r="AB180" s="238">
        <v>5626.62</v>
      </c>
      <c r="AK180" s="238">
        <f t="shared" si="158"/>
        <v>5.3</v>
      </c>
      <c r="AL180" s="238" t="s">
        <v>126</v>
      </c>
      <c r="AM180" s="238">
        <v>5.3</v>
      </c>
      <c r="AN180" s="238">
        <v>5701.7</v>
      </c>
      <c r="AO180" s="238">
        <f t="shared" si="159"/>
        <v>4.33</v>
      </c>
      <c r="AP180" s="243" t="s">
        <v>126</v>
      </c>
      <c r="AQ180" s="243">
        <v>4.33</v>
      </c>
      <c r="AR180" s="243">
        <v>5899.6</v>
      </c>
      <c r="AT180" s="244" t="s">
        <v>126</v>
      </c>
      <c r="AU180" s="244">
        <v>4.32</v>
      </c>
      <c r="AV180" s="238">
        <v>5676.25</v>
      </c>
      <c r="BF180" s="245" t="str">
        <f t="shared" si="163"/>
        <v>RBTMTNMT D24</v>
      </c>
      <c r="BG180" s="238" t="s">
        <v>161</v>
      </c>
      <c r="BH180" s="238">
        <v>7.17</v>
      </c>
      <c r="BI180" s="238">
        <v>5712.37</v>
      </c>
      <c r="BK180" s="238" t="s">
        <v>161</v>
      </c>
      <c r="BL180" s="238">
        <v>6.35</v>
      </c>
      <c r="BM180" s="238">
        <v>5410.87</v>
      </c>
      <c r="BN180" s="245">
        <f t="shared" si="162"/>
        <v>0</v>
      </c>
      <c r="BO180" s="238" t="s">
        <v>161</v>
      </c>
      <c r="BP180" s="238">
        <v>5.24</v>
      </c>
      <c r="BQ180" s="238">
        <v>4947.5</v>
      </c>
    </row>
    <row r="181" spans="16:69" ht="15" customHeight="1" x14ac:dyDescent="0.25">
      <c r="P181" s="238" t="str">
        <f t="shared" si="161"/>
        <v>PDWMT D24</v>
      </c>
      <c r="R181" s="369" t="s">
        <v>127</v>
      </c>
      <c r="S181" s="370">
        <v>40.99</v>
      </c>
      <c r="T181" s="371">
        <v>5738.88</v>
      </c>
      <c r="V181" s="256" t="s">
        <v>127</v>
      </c>
      <c r="W181" s="256">
        <v>42.2</v>
      </c>
      <c r="X181" s="256">
        <v>5875.18</v>
      </c>
      <c r="Z181" s="266" t="s">
        <v>127</v>
      </c>
      <c r="AA181" s="266">
        <v>38.44</v>
      </c>
      <c r="AB181" s="238">
        <v>5626.62</v>
      </c>
      <c r="AK181" s="238">
        <f t="shared" si="158"/>
        <v>45.19</v>
      </c>
      <c r="AL181" s="238" t="s">
        <v>127</v>
      </c>
      <c r="AM181" s="238">
        <v>45.19</v>
      </c>
      <c r="AN181" s="238">
        <v>5701.7</v>
      </c>
      <c r="AO181" s="238">
        <f t="shared" si="159"/>
        <v>47.11</v>
      </c>
      <c r="AP181" s="243" t="s">
        <v>127</v>
      </c>
      <c r="AQ181" s="243">
        <v>47.11</v>
      </c>
      <c r="AR181" s="243">
        <v>5899.6</v>
      </c>
      <c r="AT181" s="244" t="s">
        <v>127</v>
      </c>
      <c r="AU181" s="244">
        <v>43.83</v>
      </c>
      <c r="AV181" s="238">
        <v>5676.25</v>
      </c>
      <c r="BF181" s="245" t="str">
        <f t="shared" si="163"/>
        <v>RBTMTNMT PC</v>
      </c>
      <c r="BG181" s="238" t="s">
        <v>162</v>
      </c>
      <c r="BH181" s="238">
        <v>3.34</v>
      </c>
      <c r="BI181" s="238">
        <v>5712.37</v>
      </c>
      <c r="BK181" s="238" t="s">
        <v>162</v>
      </c>
      <c r="BL181" s="238">
        <v>2.81</v>
      </c>
      <c r="BM181" s="238">
        <v>5410.87</v>
      </c>
      <c r="BN181" s="245">
        <f t="shared" si="162"/>
        <v>0</v>
      </c>
      <c r="BO181" s="238" t="s">
        <v>162</v>
      </c>
      <c r="BP181" s="238">
        <v>2.0499999999999998</v>
      </c>
      <c r="BQ181" s="238">
        <v>4947.5</v>
      </c>
    </row>
    <row r="182" spans="16:69" ht="15" customHeight="1" x14ac:dyDescent="0.25">
      <c r="P182" s="238" t="str">
        <f t="shared" si="161"/>
        <v>PDWPLT2 D24</v>
      </c>
      <c r="R182" s="369" t="s">
        <v>128</v>
      </c>
      <c r="S182" s="370">
        <v>101.55</v>
      </c>
      <c r="T182" s="371">
        <v>5738.88</v>
      </c>
      <c r="V182" s="256" t="s">
        <v>128</v>
      </c>
      <c r="W182" s="256">
        <v>107.86</v>
      </c>
      <c r="X182" s="256">
        <v>5875.18</v>
      </c>
      <c r="Z182" s="266" t="s">
        <v>128</v>
      </c>
      <c r="AA182" s="266">
        <v>117.65</v>
      </c>
      <c r="AB182" s="238">
        <v>5626.62</v>
      </c>
      <c r="AK182" s="238">
        <f t="shared" si="158"/>
        <v>115.37</v>
      </c>
      <c r="AL182" s="238" t="s">
        <v>128</v>
      </c>
      <c r="AM182" s="238">
        <v>115.37</v>
      </c>
      <c r="AN182" s="238">
        <v>5701.7</v>
      </c>
      <c r="AO182" s="238">
        <f t="shared" si="159"/>
        <v>108.39</v>
      </c>
      <c r="AP182" s="243" t="s">
        <v>128</v>
      </c>
      <c r="AQ182" s="243">
        <v>108.39</v>
      </c>
      <c r="AR182" s="243">
        <v>5899.6</v>
      </c>
      <c r="AT182" s="244" t="s">
        <v>128</v>
      </c>
      <c r="AU182" s="244">
        <v>100.21</v>
      </c>
      <c r="AV182" s="238">
        <v>5676.25</v>
      </c>
      <c r="BF182" s="245" t="str">
        <f t="shared" si="163"/>
        <v>SGRLF D24</v>
      </c>
      <c r="BG182" s="238" t="s">
        <v>134</v>
      </c>
      <c r="BH182" s="238">
        <v>1.99</v>
      </c>
      <c r="BI182" s="238">
        <v>5712.37</v>
      </c>
      <c r="BK182" s="238" t="s">
        <v>134</v>
      </c>
      <c r="BL182" s="238">
        <v>1.85</v>
      </c>
      <c r="BM182" s="238">
        <v>5410.87</v>
      </c>
      <c r="BN182" s="245">
        <f t="shared" si="162"/>
        <v>0</v>
      </c>
      <c r="BO182" s="238" t="s">
        <v>134</v>
      </c>
      <c r="BP182" s="238">
        <v>1.8</v>
      </c>
      <c r="BQ182" s="238">
        <v>4947.5</v>
      </c>
    </row>
    <row r="183" spans="16:69" ht="15" customHeight="1" x14ac:dyDescent="0.25">
      <c r="P183" s="238" t="str">
        <f t="shared" ref="P183:P202" si="164">VLOOKUP(R183,$R$6:$R$109,1,FALSE)</f>
        <v>PDWPLT2 PC</v>
      </c>
      <c r="R183" s="369" t="s">
        <v>129</v>
      </c>
      <c r="S183" s="370">
        <v>30.99</v>
      </c>
      <c r="T183" s="371">
        <v>5738.88</v>
      </c>
      <c r="V183" s="256" t="s">
        <v>129</v>
      </c>
      <c r="W183" s="256">
        <v>31.92</v>
      </c>
      <c r="X183" s="256">
        <v>5875.18</v>
      </c>
      <c r="Z183" s="266" t="s">
        <v>129</v>
      </c>
      <c r="AA183" s="266">
        <v>28.08</v>
      </c>
      <c r="AB183" s="238">
        <v>5626.62</v>
      </c>
      <c r="AK183" s="238">
        <f t="shared" ref="AK183:AK203" si="165">VLOOKUP(AL183,$AL$6:$AM$102,2,FALSE)</f>
        <v>28.24</v>
      </c>
      <c r="AL183" s="238" t="s">
        <v>129</v>
      </c>
      <c r="AM183" s="238">
        <v>28.24</v>
      </c>
      <c r="AN183" s="238">
        <v>5701.7</v>
      </c>
      <c r="AO183" s="238">
        <f t="shared" ref="AO183:AO203" si="166">VLOOKUP(AP183,$AP$6:$AQ$102,2,FALSE)</f>
        <v>27.83</v>
      </c>
      <c r="AP183" s="243" t="s">
        <v>129</v>
      </c>
      <c r="AQ183" s="243">
        <v>27.83</v>
      </c>
      <c r="AR183" s="243">
        <v>5899.6</v>
      </c>
      <c r="AT183" s="244" t="s">
        <v>129</v>
      </c>
      <c r="AU183" s="244">
        <v>26.88</v>
      </c>
      <c r="AV183" s="238">
        <v>5676.25</v>
      </c>
      <c r="BF183" s="245" t="str">
        <f t="shared" si="163"/>
        <v>SGRLF PC</v>
      </c>
      <c r="BG183" s="238" t="s">
        <v>135</v>
      </c>
      <c r="BH183" s="238">
        <v>50.67</v>
      </c>
      <c r="BI183" s="238">
        <v>5712.37</v>
      </c>
      <c r="BK183" s="238" t="s">
        <v>135</v>
      </c>
      <c r="BL183" s="238">
        <v>47.38</v>
      </c>
      <c r="BM183" s="238">
        <v>5410.87</v>
      </c>
      <c r="BN183" s="245">
        <f t="shared" si="162"/>
        <v>0</v>
      </c>
      <c r="BO183" s="238" t="s">
        <v>135</v>
      </c>
      <c r="BP183" s="238">
        <v>45.39</v>
      </c>
      <c r="BQ183" s="238">
        <v>4947.5</v>
      </c>
    </row>
    <row r="184" spans="16:69" ht="15" customHeight="1" x14ac:dyDescent="0.25">
      <c r="P184" s="238" t="str">
        <f t="shared" si="164"/>
        <v>PDWPLT3 D24</v>
      </c>
      <c r="R184" s="369" t="s">
        <v>130</v>
      </c>
      <c r="S184" s="370">
        <v>8.31</v>
      </c>
      <c r="T184" s="371">
        <v>5738.88</v>
      </c>
      <c r="V184" s="256" t="s">
        <v>130</v>
      </c>
      <c r="W184" s="256">
        <v>8.8699999999999992</v>
      </c>
      <c r="X184" s="256">
        <v>5875.18</v>
      </c>
      <c r="Z184" s="266" t="s">
        <v>130</v>
      </c>
      <c r="AA184" s="266">
        <v>8.15</v>
      </c>
      <c r="AB184" s="238">
        <v>5626.62</v>
      </c>
      <c r="AK184" s="238">
        <f t="shared" si="165"/>
        <v>8.25</v>
      </c>
      <c r="AL184" s="238" t="s">
        <v>130</v>
      </c>
      <c r="AM184" s="238">
        <v>8.25</v>
      </c>
      <c r="AN184" s="238">
        <v>5701.7</v>
      </c>
      <c r="AO184" s="238">
        <f t="shared" si="166"/>
        <v>7.8</v>
      </c>
      <c r="AP184" s="243" t="s">
        <v>130</v>
      </c>
      <c r="AQ184" s="243">
        <v>7.8</v>
      </c>
      <c r="AR184" s="243">
        <v>5899.6</v>
      </c>
      <c r="AT184" s="244" t="s">
        <v>130</v>
      </c>
      <c r="AU184" s="244">
        <v>6.86</v>
      </c>
      <c r="AV184" s="238">
        <v>5676.25</v>
      </c>
      <c r="BF184" s="245" t="str">
        <f t="shared" si="163"/>
        <v>SGRLFMT D24</v>
      </c>
      <c r="BG184" s="238" t="s">
        <v>163</v>
      </c>
      <c r="BH184" s="238">
        <v>14.94</v>
      </c>
      <c r="BI184" s="238">
        <v>5712.37</v>
      </c>
      <c r="BK184" s="238" t="s">
        <v>163</v>
      </c>
      <c r="BL184" s="238">
        <v>12.96</v>
      </c>
      <c r="BM184" s="238">
        <v>5410.87</v>
      </c>
      <c r="BN184" s="245">
        <f t="shared" si="162"/>
        <v>0</v>
      </c>
      <c r="BO184" s="238" t="s">
        <v>163</v>
      </c>
      <c r="BP184" s="238">
        <v>10.83</v>
      </c>
      <c r="BQ184" s="238">
        <v>4947.5</v>
      </c>
    </row>
    <row r="185" spans="16:69" ht="15" customHeight="1" x14ac:dyDescent="0.25">
      <c r="P185" s="238" t="str">
        <f t="shared" si="164"/>
        <v>PDWPLT3 PC</v>
      </c>
      <c r="R185" s="369" t="s">
        <v>131</v>
      </c>
      <c r="S185" s="370">
        <v>12</v>
      </c>
      <c r="T185" s="371">
        <v>5738.88</v>
      </c>
      <c r="V185" s="256" t="s">
        <v>131</v>
      </c>
      <c r="W185" s="256">
        <v>12</v>
      </c>
      <c r="X185" s="256">
        <v>5875.18</v>
      </c>
      <c r="Z185" s="266" t="s">
        <v>131</v>
      </c>
      <c r="AA185" s="266">
        <v>12.77</v>
      </c>
      <c r="AB185" s="238">
        <v>5626.62</v>
      </c>
      <c r="AK185" s="238">
        <f t="shared" si="165"/>
        <v>11.46</v>
      </c>
      <c r="AL185" s="238" t="s">
        <v>131</v>
      </c>
      <c r="AM185" s="238">
        <v>11.46</v>
      </c>
      <c r="AN185" s="238">
        <v>5701.7</v>
      </c>
      <c r="AO185" s="238">
        <f t="shared" si="166"/>
        <v>11.45</v>
      </c>
      <c r="AP185" s="243" t="s">
        <v>131</v>
      </c>
      <c r="AQ185" s="243">
        <v>11.45</v>
      </c>
      <c r="AR185" s="243">
        <v>5899.6</v>
      </c>
      <c r="AT185" s="244" t="s">
        <v>131</v>
      </c>
      <c r="AU185" s="244">
        <v>11.26</v>
      </c>
      <c r="AV185" s="238">
        <v>5676.25</v>
      </c>
      <c r="BF185" s="245" t="str">
        <f t="shared" si="163"/>
        <v>TRAIL 2E</v>
      </c>
      <c r="BG185" s="238" t="s">
        <v>184</v>
      </c>
      <c r="BH185" s="238">
        <v>287.85000000000002</v>
      </c>
      <c r="BI185" s="238">
        <v>5712.37</v>
      </c>
      <c r="BK185" s="238" t="s">
        <v>184</v>
      </c>
      <c r="BL185" s="238">
        <v>282.75</v>
      </c>
      <c r="BM185" s="238">
        <v>5410.87</v>
      </c>
      <c r="BN185" s="245">
        <f t="shared" si="162"/>
        <v>0</v>
      </c>
      <c r="BO185" s="238" t="s">
        <v>184</v>
      </c>
      <c r="BP185" s="238">
        <v>245.87</v>
      </c>
      <c r="BQ185" s="238">
        <v>4947.5</v>
      </c>
    </row>
    <row r="186" spans="16:69" ht="15" customHeight="1" x14ac:dyDescent="0.25">
      <c r="P186" s="238" t="str">
        <f t="shared" si="164"/>
        <v>RBTMTN D24</v>
      </c>
      <c r="R186" s="369" t="s">
        <v>132</v>
      </c>
      <c r="S186" s="370">
        <v>0.41</v>
      </c>
      <c r="T186" s="371">
        <v>5738.88</v>
      </c>
      <c r="V186" s="256" t="s">
        <v>132</v>
      </c>
      <c r="W186" s="256">
        <v>0.41</v>
      </c>
      <c r="X186" s="256">
        <v>5875.18</v>
      </c>
      <c r="Z186" s="266" t="s">
        <v>132</v>
      </c>
      <c r="AA186" s="266">
        <v>0.41</v>
      </c>
      <c r="AB186" s="238">
        <v>5626.62</v>
      </c>
      <c r="AK186" s="238">
        <f t="shared" si="165"/>
        <v>0.39</v>
      </c>
      <c r="AL186" s="238" t="s">
        <v>132</v>
      </c>
      <c r="AM186" s="238">
        <v>0.39</v>
      </c>
      <c r="AN186" s="238">
        <v>5701.7</v>
      </c>
      <c r="AO186" s="238">
        <f t="shared" si="166"/>
        <v>0.4</v>
      </c>
      <c r="AP186" s="243" t="s">
        <v>132</v>
      </c>
      <c r="AQ186" s="243">
        <v>0.4</v>
      </c>
      <c r="AR186" s="243">
        <v>5899.6</v>
      </c>
      <c r="AT186" s="244" t="s">
        <v>132</v>
      </c>
      <c r="AU186" s="244">
        <v>0.17</v>
      </c>
      <c r="AV186" s="238">
        <v>5676.25</v>
      </c>
      <c r="BF186" s="245" t="str">
        <f t="shared" si="163"/>
        <v>TRAIL MT 2E</v>
      </c>
      <c r="BG186" s="373" t="s">
        <v>238</v>
      </c>
      <c r="BH186" s="238">
        <v>59.52</v>
      </c>
      <c r="BI186" s="238">
        <v>5712.37</v>
      </c>
      <c r="BK186" s="238" t="s">
        <v>238</v>
      </c>
      <c r="BL186" s="238">
        <v>53.2</v>
      </c>
      <c r="BM186" s="238">
        <v>5410.87</v>
      </c>
      <c r="BN186" s="245">
        <f t="shared" si="162"/>
        <v>0</v>
      </c>
      <c r="BO186" s="238" t="s">
        <v>238</v>
      </c>
      <c r="BP186" s="238">
        <v>55.19</v>
      </c>
      <c r="BQ186" s="238">
        <v>4947.5</v>
      </c>
    </row>
    <row r="187" spans="16:69" ht="15" customHeight="1" x14ac:dyDescent="0.25">
      <c r="P187" s="238" t="str">
        <f t="shared" si="164"/>
        <v>RBTMTN PC</v>
      </c>
      <c r="R187" s="369" t="s">
        <v>133</v>
      </c>
      <c r="S187" s="370">
        <v>3.34</v>
      </c>
      <c r="T187" s="371">
        <v>5738.88</v>
      </c>
      <c r="V187" s="256" t="s">
        <v>133</v>
      </c>
      <c r="W187" s="256">
        <v>3.57</v>
      </c>
      <c r="X187" s="256">
        <v>5875.18</v>
      </c>
      <c r="Z187" s="266" t="s">
        <v>133</v>
      </c>
      <c r="AA187" s="266">
        <v>0.23</v>
      </c>
      <c r="AB187" s="238">
        <v>5626.62</v>
      </c>
      <c r="AK187" s="238">
        <f t="shared" si="165"/>
        <v>4.1100000000000003</v>
      </c>
      <c r="AL187" s="238" t="s">
        <v>133</v>
      </c>
      <c r="AM187" s="238">
        <v>4.1100000000000003</v>
      </c>
      <c r="AN187" s="238">
        <v>5701.7</v>
      </c>
      <c r="AO187" s="238">
        <f t="shared" si="166"/>
        <v>3.28</v>
      </c>
      <c r="AP187" s="243" t="s">
        <v>133</v>
      </c>
      <c r="AQ187" s="243">
        <v>3.28</v>
      </c>
      <c r="AR187" s="243">
        <v>5899.6</v>
      </c>
      <c r="AT187" s="244" t="s">
        <v>133</v>
      </c>
      <c r="AU187" s="244">
        <v>1.54</v>
      </c>
      <c r="AV187" s="238">
        <v>5676.25</v>
      </c>
      <c r="BF187" s="245" t="str">
        <f t="shared" si="163"/>
        <v>TRAIL D24</v>
      </c>
      <c r="BG187" s="238" t="s">
        <v>136</v>
      </c>
      <c r="BH187" s="238">
        <v>289.63</v>
      </c>
      <c r="BI187" s="238">
        <v>5712.37</v>
      </c>
      <c r="BK187" s="238" t="s">
        <v>136</v>
      </c>
      <c r="BL187" s="238">
        <v>287.3</v>
      </c>
      <c r="BM187" s="238">
        <v>5410.87</v>
      </c>
      <c r="BN187" s="245">
        <f t="shared" si="162"/>
        <v>0</v>
      </c>
      <c r="BO187" s="238" t="s">
        <v>136</v>
      </c>
      <c r="BP187" s="238">
        <v>256.31</v>
      </c>
      <c r="BQ187" s="238">
        <v>4947.5</v>
      </c>
    </row>
    <row r="188" spans="16:69" ht="15" customHeight="1" x14ac:dyDescent="0.25">
      <c r="P188" s="238" t="str">
        <f t="shared" si="164"/>
        <v>RBTMTNMT D24</v>
      </c>
      <c r="R188" s="369" t="s">
        <v>161</v>
      </c>
      <c r="S188" s="370">
        <v>5.99</v>
      </c>
      <c r="T188" s="371">
        <v>5738.88</v>
      </c>
      <c r="V188" s="256" t="s">
        <v>161</v>
      </c>
      <c r="W188" s="256">
        <v>6.37</v>
      </c>
      <c r="X188" s="256">
        <v>5875.18</v>
      </c>
      <c r="Z188" s="266" t="s">
        <v>161</v>
      </c>
      <c r="AA188" s="266">
        <v>6.32</v>
      </c>
      <c r="AB188" s="238">
        <v>5626.62</v>
      </c>
      <c r="AK188" s="238">
        <f t="shared" si="165"/>
        <v>6.01</v>
      </c>
      <c r="AL188" s="238" t="s">
        <v>161</v>
      </c>
      <c r="AM188" s="238">
        <v>6.01</v>
      </c>
      <c r="AN188" s="238">
        <v>5701.7</v>
      </c>
      <c r="AO188" s="238">
        <f t="shared" si="166"/>
        <v>6.68</v>
      </c>
      <c r="AP188" s="243" t="s">
        <v>161</v>
      </c>
      <c r="AQ188" s="243">
        <v>6.68</v>
      </c>
      <c r="AR188" s="243">
        <v>5899.6</v>
      </c>
      <c r="AT188" s="244" t="s">
        <v>161</v>
      </c>
      <c r="AU188" s="244">
        <v>5.81</v>
      </c>
      <c r="AV188" s="238">
        <v>5676.25</v>
      </c>
      <c r="BF188" s="245" t="str">
        <f t="shared" si="163"/>
        <v>TRAIL PC</v>
      </c>
      <c r="BG188" s="238" t="s">
        <v>137</v>
      </c>
      <c r="BH188" s="238">
        <v>1.75</v>
      </c>
      <c r="BI188" s="238">
        <v>5712.37</v>
      </c>
      <c r="BK188" s="238" t="s">
        <v>137</v>
      </c>
      <c r="BL188" s="238">
        <v>1.63</v>
      </c>
      <c r="BM188" s="238">
        <v>5410.87</v>
      </c>
      <c r="BN188" s="245">
        <f t="shared" si="162"/>
        <v>0</v>
      </c>
      <c r="BO188" s="238" t="s">
        <v>137</v>
      </c>
      <c r="BP188" s="238">
        <v>1.45</v>
      </c>
      <c r="BQ188" s="238">
        <v>4947.5</v>
      </c>
    </row>
    <row r="189" spans="16:69" ht="15" customHeight="1" x14ac:dyDescent="0.25">
      <c r="P189" s="238" t="str">
        <f t="shared" si="164"/>
        <v>RBTMTNMT PC</v>
      </c>
      <c r="R189" s="369" t="s">
        <v>162</v>
      </c>
      <c r="S189" s="370">
        <v>3.02</v>
      </c>
      <c r="T189" s="371">
        <v>5738.88</v>
      </c>
      <c r="V189" s="256" t="s">
        <v>162</v>
      </c>
      <c r="W189" s="256">
        <v>2.79</v>
      </c>
      <c r="X189" s="256">
        <v>5875.18</v>
      </c>
      <c r="Z189" s="266" t="s">
        <v>162</v>
      </c>
      <c r="AA189" s="266">
        <v>3.04</v>
      </c>
      <c r="AB189" s="238">
        <v>5626.62</v>
      </c>
      <c r="AK189" s="238">
        <f t="shared" si="165"/>
        <v>2.67</v>
      </c>
      <c r="AL189" s="238" t="s">
        <v>162</v>
      </c>
      <c r="AM189" s="238">
        <v>2.67</v>
      </c>
      <c r="AN189" s="238">
        <v>5701.7</v>
      </c>
      <c r="AO189" s="238">
        <f t="shared" si="166"/>
        <v>2.31</v>
      </c>
      <c r="AP189" s="243" t="s">
        <v>162</v>
      </c>
      <c r="AQ189" s="243">
        <v>2.31</v>
      </c>
      <c r="AR189" s="243">
        <v>5899.6</v>
      </c>
      <c r="AT189" s="244" t="s">
        <v>162</v>
      </c>
      <c r="AU189" s="244">
        <v>1.73</v>
      </c>
      <c r="AV189" s="238">
        <v>5676.25</v>
      </c>
      <c r="BF189" s="245" t="str">
        <f t="shared" si="163"/>
        <v>TRAILMT D24</v>
      </c>
      <c r="BG189" s="238" t="s">
        <v>164</v>
      </c>
      <c r="BH189" s="238">
        <v>65.3</v>
      </c>
      <c r="BI189" s="238">
        <v>5712.37</v>
      </c>
      <c r="BK189" s="238" t="s">
        <v>164</v>
      </c>
      <c r="BL189" s="238">
        <v>58.4</v>
      </c>
      <c r="BM189" s="238">
        <v>5410.87</v>
      </c>
      <c r="BN189" s="245">
        <f t="shared" si="162"/>
        <v>0</v>
      </c>
      <c r="BO189" s="238" t="s">
        <v>164</v>
      </c>
      <c r="BP189" s="238">
        <v>60.53</v>
      </c>
      <c r="BQ189" s="238">
        <v>4947.5</v>
      </c>
    </row>
    <row r="190" spans="16:69" ht="15" customHeight="1" x14ac:dyDescent="0.25">
      <c r="P190" s="238" t="str">
        <f t="shared" si="164"/>
        <v>SGRLF D24</v>
      </c>
      <c r="R190" s="369" t="s">
        <v>134</v>
      </c>
      <c r="S190" s="370">
        <v>2.7</v>
      </c>
      <c r="T190" s="371">
        <v>5738.88</v>
      </c>
      <c r="V190" s="256" t="s">
        <v>134</v>
      </c>
      <c r="W190" s="256">
        <v>2.68</v>
      </c>
      <c r="X190" s="256">
        <v>5875.18</v>
      </c>
      <c r="Z190" s="266" t="s">
        <v>134</v>
      </c>
      <c r="AA190" s="266">
        <v>2.95</v>
      </c>
      <c r="AB190" s="238">
        <v>5626.62</v>
      </c>
      <c r="AK190" s="238">
        <f t="shared" si="165"/>
        <v>2.0699999999999998</v>
      </c>
      <c r="AL190" s="238" t="s">
        <v>134</v>
      </c>
      <c r="AM190" s="238">
        <v>2.0699999999999998</v>
      </c>
      <c r="AN190" s="238">
        <v>5701.7</v>
      </c>
      <c r="AO190" s="238">
        <f t="shared" si="166"/>
        <v>2.17</v>
      </c>
      <c r="AP190" s="243" t="s">
        <v>134</v>
      </c>
      <c r="AQ190" s="243">
        <v>2.17</v>
      </c>
      <c r="AR190" s="243">
        <v>5899.6</v>
      </c>
      <c r="AT190" s="244" t="s">
        <v>134</v>
      </c>
      <c r="AU190" s="244">
        <v>1.88</v>
      </c>
      <c r="AV190" s="238">
        <v>5676.25</v>
      </c>
      <c r="BF190" s="245" t="str">
        <f t="shared" si="163"/>
        <v>WHLA D24</v>
      </c>
      <c r="BG190" s="238" t="s">
        <v>138</v>
      </c>
      <c r="BH190" s="238">
        <v>39.33</v>
      </c>
      <c r="BI190" s="238">
        <v>5712.37</v>
      </c>
      <c r="BK190" s="238" t="s">
        <v>138</v>
      </c>
      <c r="BL190" s="238">
        <v>34.33</v>
      </c>
      <c r="BM190" s="238">
        <v>5410.87</v>
      </c>
      <c r="BN190" s="245">
        <f t="shared" si="162"/>
        <v>0</v>
      </c>
      <c r="BO190" s="238" t="s">
        <v>138</v>
      </c>
      <c r="BP190" s="238">
        <v>38.29</v>
      </c>
      <c r="BQ190" s="238">
        <v>4947.5</v>
      </c>
    </row>
    <row r="191" spans="16:69" ht="15" customHeight="1" x14ac:dyDescent="0.25">
      <c r="P191" s="238" t="str">
        <f t="shared" si="164"/>
        <v>SGRLF PC</v>
      </c>
      <c r="R191" s="369" t="s">
        <v>135</v>
      </c>
      <c r="S191" s="370">
        <v>47.17</v>
      </c>
      <c r="T191" s="371">
        <v>5738.88</v>
      </c>
      <c r="V191" s="256" t="s">
        <v>135</v>
      </c>
      <c r="W191" s="256">
        <v>49.3</v>
      </c>
      <c r="X191" s="256">
        <v>5875.18</v>
      </c>
      <c r="Z191" s="266" t="s">
        <v>135</v>
      </c>
      <c r="AA191" s="266">
        <v>5.33</v>
      </c>
      <c r="AB191" s="238">
        <v>5626.62</v>
      </c>
      <c r="AK191" s="238">
        <f t="shared" si="165"/>
        <v>62.22</v>
      </c>
      <c r="AL191" s="238" t="s">
        <v>135</v>
      </c>
      <c r="AM191" s="238">
        <v>62.22</v>
      </c>
      <c r="AN191" s="238">
        <v>5701.7</v>
      </c>
      <c r="AO191" s="238">
        <f t="shared" si="166"/>
        <v>58.41</v>
      </c>
      <c r="AP191" s="243" t="s">
        <v>135</v>
      </c>
      <c r="AQ191" s="243">
        <v>58.41</v>
      </c>
      <c r="AR191" s="243">
        <v>5899.6</v>
      </c>
      <c r="AT191" s="244" t="s">
        <v>135</v>
      </c>
      <c r="AU191" s="244">
        <v>54.58</v>
      </c>
      <c r="AV191" s="238">
        <v>5676.25</v>
      </c>
      <c r="BF191" s="245" t="str">
        <f t="shared" si="163"/>
        <v>WHLA PC</v>
      </c>
      <c r="BG191" s="245" t="s">
        <v>139</v>
      </c>
      <c r="BH191" s="238">
        <v>9.75</v>
      </c>
      <c r="BI191" s="238">
        <v>5712.37</v>
      </c>
      <c r="BK191" s="238" t="s">
        <v>139</v>
      </c>
      <c r="BL191" s="238">
        <v>7.8</v>
      </c>
      <c r="BM191" s="238">
        <v>5410.87</v>
      </c>
      <c r="BN191" s="245">
        <f t="shared" si="162"/>
        <v>0</v>
      </c>
      <c r="BO191" s="238" t="s">
        <v>139</v>
      </c>
      <c r="BP191" s="238">
        <v>9.9700000000000006</v>
      </c>
      <c r="BQ191" s="238">
        <v>4947.5</v>
      </c>
    </row>
    <row r="192" spans="16:69" ht="15" customHeight="1" x14ac:dyDescent="0.25">
      <c r="P192" s="238" t="str">
        <f t="shared" si="164"/>
        <v>SGRLFMT D24</v>
      </c>
      <c r="R192" s="369" t="s">
        <v>163</v>
      </c>
      <c r="S192" s="370">
        <v>14.23</v>
      </c>
      <c r="T192" s="371">
        <v>5738.88</v>
      </c>
      <c r="V192" s="256" t="s">
        <v>163</v>
      </c>
      <c r="W192" s="256">
        <v>12.82</v>
      </c>
      <c r="X192" s="256">
        <v>5875.18</v>
      </c>
      <c r="Z192" s="266" t="s">
        <v>163</v>
      </c>
      <c r="AA192" s="266">
        <v>16.010000000000002</v>
      </c>
      <c r="AB192" s="238">
        <v>5626.62</v>
      </c>
      <c r="AK192" s="238">
        <f t="shared" si="165"/>
        <v>14.52</v>
      </c>
      <c r="AL192" s="238" t="s">
        <v>163</v>
      </c>
      <c r="AM192" s="238">
        <v>14.52</v>
      </c>
      <c r="AN192" s="238">
        <v>5701.7</v>
      </c>
      <c r="AO192" s="238">
        <f t="shared" si="166"/>
        <v>14.67</v>
      </c>
      <c r="AP192" s="243" t="s">
        <v>163</v>
      </c>
      <c r="AQ192" s="243">
        <v>14.67</v>
      </c>
      <c r="AR192" s="243">
        <v>5899.6</v>
      </c>
      <c r="AT192" s="244" t="s">
        <v>163</v>
      </c>
      <c r="AU192" s="244">
        <v>14.5</v>
      </c>
      <c r="AV192" s="238">
        <v>5676.25</v>
      </c>
      <c r="BF192" s="245" t="str">
        <f t="shared" si="163"/>
        <v>WWILSON D24</v>
      </c>
      <c r="BG192" s="373" t="s">
        <v>140</v>
      </c>
      <c r="BH192" s="238">
        <v>3.88</v>
      </c>
      <c r="BI192" s="238">
        <v>5712.37</v>
      </c>
      <c r="BK192" s="238" t="s">
        <v>140</v>
      </c>
      <c r="BL192" s="238">
        <v>4.25</v>
      </c>
      <c r="BM192" s="238">
        <v>5410.87</v>
      </c>
      <c r="BN192" s="245">
        <f t="shared" si="162"/>
        <v>0</v>
      </c>
      <c r="BO192" s="245" t="s">
        <v>140</v>
      </c>
      <c r="BP192" s="238">
        <v>3.1</v>
      </c>
      <c r="BQ192" s="238">
        <v>4947.5</v>
      </c>
    </row>
    <row r="193" spans="16:89" ht="15" customHeight="1" x14ac:dyDescent="0.25">
      <c r="P193" s="238" t="str">
        <f t="shared" si="164"/>
        <v>TRAIL 2E</v>
      </c>
      <c r="R193" s="369" t="s">
        <v>184</v>
      </c>
      <c r="S193" s="370">
        <v>323.66000000000003</v>
      </c>
      <c r="T193" s="371">
        <v>5738.88</v>
      </c>
      <c r="V193" s="256" t="s">
        <v>184</v>
      </c>
      <c r="W193" s="256">
        <v>329.72</v>
      </c>
      <c r="X193" s="256">
        <v>5875.18</v>
      </c>
      <c r="Z193" s="266" t="s">
        <v>184</v>
      </c>
      <c r="AA193" s="266">
        <v>369.25</v>
      </c>
      <c r="AB193" s="238">
        <v>5626.62</v>
      </c>
      <c r="AK193" s="238">
        <f t="shared" si="165"/>
        <v>301.12</v>
      </c>
      <c r="AL193" s="238" t="s">
        <v>184</v>
      </c>
      <c r="AM193" s="238">
        <v>301.12</v>
      </c>
      <c r="AN193" s="238">
        <v>5701.7</v>
      </c>
      <c r="AO193" s="238">
        <f t="shared" si="166"/>
        <v>288.33999999999997</v>
      </c>
      <c r="AP193" s="243" t="s">
        <v>184</v>
      </c>
      <c r="AQ193" s="243">
        <v>288.33999999999997</v>
      </c>
      <c r="AR193" s="243">
        <v>5899.6</v>
      </c>
      <c r="AT193" s="244" t="s">
        <v>184</v>
      </c>
      <c r="AU193" s="244">
        <v>287.26</v>
      </c>
      <c r="AV193" s="238">
        <v>5676.25</v>
      </c>
      <c r="BF193" s="245" t="str">
        <f t="shared" si="163"/>
        <v>WWILSON PC</v>
      </c>
      <c r="BG193" s="373" t="s">
        <v>141</v>
      </c>
      <c r="BH193" s="238">
        <v>20.11</v>
      </c>
      <c r="BI193" s="238">
        <v>5712.37</v>
      </c>
      <c r="BK193" s="245" t="s">
        <v>141</v>
      </c>
      <c r="BL193" s="238">
        <v>20.079999999999998</v>
      </c>
      <c r="BM193" s="238">
        <v>5410.87</v>
      </c>
      <c r="BN193" s="245">
        <f t="shared" si="162"/>
        <v>0</v>
      </c>
      <c r="BO193" s="238" t="s">
        <v>141</v>
      </c>
      <c r="BP193" s="238">
        <v>13.14</v>
      </c>
      <c r="BQ193" s="238">
        <v>4947.5</v>
      </c>
    </row>
    <row r="194" spans="16:89" ht="15" customHeight="1" x14ac:dyDescent="0.25">
      <c r="P194" s="238" t="str">
        <f t="shared" si="164"/>
        <v>TRAIL MT 2E</v>
      </c>
      <c r="R194" s="272" t="s">
        <v>238</v>
      </c>
      <c r="S194" s="370">
        <v>62.12</v>
      </c>
      <c r="T194" s="371">
        <v>5738.88</v>
      </c>
      <c r="V194" s="272" t="s">
        <v>238</v>
      </c>
      <c r="W194" s="256">
        <v>69.34</v>
      </c>
      <c r="X194" s="266">
        <v>5875.18</v>
      </c>
      <c r="Z194" s="272" t="s">
        <v>238</v>
      </c>
      <c r="AA194" s="266">
        <v>65.91</v>
      </c>
      <c r="AB194" s="238">
        <v>5626.62</v>
      </c>
      <c r="AK194" s="238">
        <f t="shared" si="165"/>
        <v>58.84</v>
      </c>
      <c r="AL194" s="373" t="s">
        <v>238</v>
      </c>
      <c r="AM194" s="238">
        <v>58.84</v>
      </c>
      <c r="AN194" s="238">
        <v>5701.7</v>
      </c>
      <c r="AO194" s="238">
        <f t="shared" si="166"/>
        <v>62.42</v>
      </c>
      <c r="AP194" s="373" t="s">
        <v>238</v>
      </c>
      <c r="AQ194" s="243">
        <v>62.42</v>
      </c>
      <c r="AR194" s="243">
        <v>5899.6</v>
      </c>
      <c r="AT194" s="244" t="s">
        <v>238</v>
      </c>
      <c r="AU194" s="244">
        <v>58.41</v>
      </c>
      <c r="AV194" s="238">
        <v>5676.25</v>
      </c>
      <c r="BF194" s="245" t="str">
        <f t="shared" si="163"/>
        <v>z16 KINEY</v>
      </c>
      <c r="BG194" s="373" t="s">
        <v>234</v>
      </c>
      <c r="BH194" s="238">
        <v>22.74</v>
      </c>
      <c r="BI194" s="238">
        <v>5712.37</v>
      </c>
      <c r="BK194" s="238" t="s">
        <v>234</v>
      </c>
      <c r="BL194" s="238">
        <v>22.78</v>
      </c>
      <c r="BM194" s="238">
        <v>5410.87</v>
      </c>
      <c r="BN194" s="245" t="e">
        <f>VLOOKUP(#REF!,$BK$6:$BL$109,2,FALSE)-#REF!</f>
        <v>#REF!</v>
      </c>
      <c r="BO194" s="238" t="s">
        <v>234</v>
      </c>
      <c r="BP194" s="238">
        <v>17.21</v>
      </c>
      <c r="BQ194" s="238">
        <v>4947.5</v>
      </c>
    </row>
    <row r="195" spans="16:89" ht="15" customHeight="1" x14ac:dyDescent="0.25">
      <c r="P195" s="238" t="str">
        <f t="shared" si="164"/>
        <v>TRAIL D24</v>
      </c>
      <c r="R195" s="369" t="s">
        <v>136</v>
      </c>
      <c r="S195" s="370">
        <v>377.74</v>
      </c>
      <c r="T195" s="371">
        <v>5738.88</v>
      </c>
      <c r="V195" s="256" t="s">
        <v>136</v>
      </c>
      <c r="W195" s="256">
        <v>383.63</v>
      </c>
      <c r="X195" s="266">
        <v>5875.18</v>
      </c>
      <c r="Z195" s="266" t="s">
        <v>136</v>
      </c>
      <c r="AA195" s="266">
        <v>310.77999999999997</v>
      </c>
      <c r="AB195" s="238">
        <v>5626.62</v>
      </c>
      <c r="AK195" s="238">
        <f t="shared" si="165"/>
        <v>337.85</v>
      </c>
      <c r="AL195" s="238" t="s">
        <v>136</v>
      </c>
      <c r="AM195" s="238">
        <v>337.85</v>
      </c>
      <c r="AN195" s="238">
        <v>5701.7</v>
      </c>
      <c r="AO195" s="238">
        <f t="shared" si="166"/>
        <v>339.8</v>
      </c>
      <c r="AP195" s="243" t="s">
        <v>136</v>
      </c>
      <c r="AQ195" s="243">
        <v>339.8</v>
      </c>
      <c r="AR195" s="243">
        <v>5899.6</v>
      </c>
      <c r="AT195" s="244" t="s">
        <v>136</v>
      </c>
      <c r="AU195" s="244">
        <v>293.27</v>
      </c>
      <c r="AV195" s="238">
        <v>5676.25</v>
      </c>
      <c r="BF195" s="245" t="str">
        <f t="shared" si="163"/>
        <v>z16 PINED</v>
      </c>
      <c r="BG195" s="373" t="s">
        <v>235</v>
      </c>
      <c r="BH195" s="238">
        <v>288.77999999999997</v>
      </c>
      <c r="BI195" s="238">
        <v>5712.37</v>
      </c>
      <c r="BK195" s="238" t="s">
        <v>235</v>
      </c>
      <c r="BL195" s="238">
        <v>256.20999999999998</v>
      </c>
      <c r="BM195" s="238">
        <v>5410.87</v>
      </c>
      <c r="BO195" s="238" t="s">
        <v>235</v>
      </c>
      <c r="BP195" s="238">
        <v>211.43</v>
      </c>
      <c r="BQ195" s="238">
        <v>4947.5</v>
      </c>
    </row>
    <row r="196" spans="16:89" ht="15" customHeight="1" x14ac:dyDescent="0.25">
      <c r="P196" s="238" t="str">
        <f t="shared" si="164"/>
        <v>TRAIL PC</v>
      </c>
      <c r="R196" s="369" t="s">
        <v>137</v>
      </c>
      <c r="S196" s="370">
        <v>1.68</v>
      </c>
      <c r="T196" s="371">
        <v>5738.88</v>
      </c>
      <c r="V196" s="256" t="s">
        <v>137</v>
      </c>
      <c r="W196" s="256">
        <v>1.26</v>
      </c>
      <c r="X196" s="266">
        <v>5875.18</v>
      </c>
      <c r="Z196" s="266" t="s">
        <v>137</v>
      </c>
      <c r="AA196" s="266">
        <v>1.6</v>
      </c>
      <c r="AB196" s="238">
        <v>5626.62</v>
      </c>
      <c r="AK196" s="238">
        <f t="shared" si="165"/>
        <v>1.84</v>
      </c>
      <c r="AL196" s="238" t="s">
        <v>137</v>
      </c>
      <c r="AM196" s="238">
        <v>1.84</v>
      </c>
      <c r="AN196" s="238">
        <v>5701.7</v>
      </c>
      <c r="AO196" s="238">
        <f t="shared" si="166"/>
        <v>1.64</v>
      </c>
      <c r="AP196" s="243" t="s">
        <v>137</v>
      </c>
      <c r="AQ196" s="243">
        <v>1.64</v>
      </c>
      <c r="AR196" s="243">
        <v>5899.6</v>
      </c>
      <c r="AT196" s="244" t="s">
        <v>137</v>
      </c>
      <c r="AU196" s="244">
        <v>1.79</v>
      </c>
      <c r="AV196" s="238">
        <v>5676.25</v>
      </c>
      <c r="BG196" s="373"/>
    </row>
    <row r="197" spans="16:89" ht="15" customHeight="1" x14ac:dyDescent="0.25">
      <c r="P197" s="238" t="str">
        <f t="shared" si="164"/>
        <v>TRAILMT D24</v>
      </c>
      <c r="R197" s="369" t="s">
        <v>164</v>
      </c>
      <c r="S197" s="370">
        <v>68.180000000000007</v>
      </c>
      <c r="T197" s="371">
        <v>5738.88</v>
      </c>
      <c r="V197" s="256" t="s">
        <v>164</v>
      </c>
      <c r="W197" s="256">
        <v>76.12</v>
      </c>
      <c r="X197" s="266">
        <v>5875.18</v>
      </c>
      <c r="Z197" s="266" t="s">
        <v>164</v>
      </c>
      <c r="AA197" s="266">
        <v>72.31</v>
      </c>
      <c r="AB197" s="238">
        <v>5626.62</v>
      </c>
      <c r="AK197" s="238">
        <f t="shared" si="165"/>
        <v>64.540000000000006</v>
      </c>
      <c r="AL197" s="238" t="s">
        <v>164</v>
      </c>
      <c r="AM197" s="238">
        <v>64.540000000000006</v>
      </c>
      <c r="AN197" s="238">
        <v>5701.7</v>
      </c>
      <c r="AO197" s="238">
        <f t="shared" si="166"/>
        <v>68.48</v>
      </c>
      <c r="AP197" s="243" t="s">
        <v>164</v>
      </c>
      <c r="AQ197" s="243">
        <v>68.48</v>
      </c>
      <c r="AR197" s="243">
        <v>5899.6</v>
      </c>
      <c r="AT197" s="244" t="s">
        <v>164</v>
      </c>
      <c r="AU197" s="244">
        <v>64.010000000000005</v>
      </c>
      <c r="AV197" s="238">
        <v>5676.25</v>
      </c>
      <c r="BG197" s="373"/>
    </row>
    <row r="198" spans="16:89" ht="15" customHeight="1" x14ac:dyDescent="0.25">
      <c r="P198" s="238" t="str">
        <f t="shared" si="164"/>
        <v>WHLA D24</v>
      </c>
      <c r="R198" s="369" t="s">
        <v>138</v>
      </c>
      <c r="S198" s="370">
        <v>54.36</v>
      </c>
      <c r="T198" s="371">
        <v>5738.88</v>
      </c>
      <c r="U198" s="256"/>
      <c r="V198" s="256" t="s">
        <v>138</v>
      </c>
      <c r="W198" s="256">
        <v>53.97</v>
      </c>
      <c r="X198" s="266">
        <v>5875.18</v>
      </c>
      <c r="Z198" s="266" t="s">
        <v>138</v>
      </c>
      <c r="AA198" s="266">
        <v>52.37</v>
      </c>
      <c r="AB198" s="238">
        <v>5626.62</v>
      </c>
      <c r="AC198" s="238"/>
      <c r="AE198" s="256"/>
      <c r="AG198" s="238"/>
      <c r="AH198" s="238"/>
      <c r="AK198" s="238">
        <f t="shared" si="165"/>
        <v>49.97</v>
      </c>
      <c r="AL198" s="238" t="s">
        <v>138</v>
      </c>
      <c r="AM198" s="243">
        <v>49.97</v>
      </c>
      <c r="AN198" s="243">
        <v>5701.7</v>
      </c>
      <c r="AO198" s="238">
        <f t="shared" si="166"/>
        <v>48.64</v>
      </c>
      <c r="AP198" s="243" t="s">
        <v>138</v>
      </c>
      <c r="AQ198" s="244">
        <v>48.64</v>
      </c>
      <c r="AR198" s="244">
        <v>5899.6</v>
      </c>
      <c r="AS198" s="238"/>
      <c r="AT198" s="245" t="s">
        <v>138</v>
      </c>
      <c r="AU198" s="238">
        <v>44.92</v>
      </c>
      <c r="AV198" s="238">
        <v>5676.25</v>
      </c>
      <c r="BF198" s="238"/>
      <c r="CC198" s="238"/>
      <c r="CD198" s="245"/>
      <c r="CG198" s="238"/>
      <c r="CH198" s="245"/>
      <c r="CK198" s="238"/>
    </row>
    <row r="199" spans="16:89" ht="15" customHeight="1" x14ac:dyDescent="0.25">
      <c r="P199" s="238" t="str">
        <f t="shared" si="164"/>
        <v>WHLA PC</v>
      </c>
      <c r="R199" s="369" t="s">
        <v>139</v>
      </c>
      <c r="S199" s="370">
        <v>12.26</v>
      </c>
      <c r="T199" s="371">
        <v>5738.88</v>
      </c>
      <c r="V199" s="256" t="s">
        <v>139</v>
      </c>
      <c r="W199" s="256">
        <v>12.71</v>
      </c>
      <c r="X199" s="266">
        <v>5875.18</v>
      </c>
      <c r="Z199" s="266" t="s">
        <v>139</v>
      </c>
      <c r="AA199" s="266">
        <v>13.46</v>
      </c>
      <c r="AB199" s="238">
        <v>5626.62</v>
      </c>
      <c r="AK199" s="238">
        <f t="shared" si="165"/>
        <v>12.25</v>
      </c>
      <c r="AL199" s="238" t="s">
        <v>139</v>
      </c>
      <c r="AM199" s="238">
        <v>12.25</v>
      </c>
      <c r="AN199" s="238">
        <v>5701.7</v>
      </c>
      <c r="AO199" s="238">
        <f t="shared" si="166"/>
        <v>12.41</v>
      </c>
      <c r="AP199" s="243" t="s">
        <v>139</v>
      </c>
      <c r="AQ199" s="243">
        <v>12.41</v>
      </c>
      <c r="AR199" s="243">
        <v>5899.6</v>
      </c>
      <c r="AT199" s="244" t="s">
        <v>139</v>
      </c>
      <c r="AU199" s="244">
        <v>11.49</v>
      </c>
      <c r="AV199" s="238">
        <v>5676.25</v>
      </c>
    </row>
    <row r="200" spans="16:89" ht="15" customHeight="1" x14ac:dyDescent="0.25">
      <c r="P200" s="238" t="str">
        <f t="shared" si="164"/>
        <v>WWILSON D24</v>
      </c>
      <c r="R200" s="369" t="s">
        <v>140</v>
      </c>
      <c r="S200" s="370">
        <v>4.5</v>
      </c>
      <c r="T200" s="371">
        <v>5738.88</v>
      </c>
      <c r="V200" s="256" t="s">
        <v>140</v>
      </c>
      <c r="W200" s="256">
        <v>4.4400000000000004</v>
      </c>
      <c r="X200" s="266">
        <v>5875.18</v>
      </c>
      <c r="Z200" s="266" t="s">
        <v>140</v>
      </c>
      <c r="AA200" s="266">
        <v>2.5499999999999998</v>
      </c>
      <c r="AB200" s="238">
        <v>5626.62</v>
      </c>
      <c r="AK200" s="238">
        <f t="shared" si="165"/>
        <v>4.72</v>
      </c>
      <c r="AL200" s="238" t="s">
        <v>140</v>
      </c>
      <c r="AM200" s="238">
        <v>4.72</v>
      </c>
      <c r="AN200" s="238">
        <v>5701.7</v>
      </c>
      <c r="AO200" s="238">
        <f t="shared" si="166"/>
        <v>4.58</v>
      </c>
      <c r="AP200" s="243" t="s">
        <v>140</v>
      </c>
      <c r="AQ200" s="243">
        <v>4.58</v>
      </c>
      <c r="AR200" s="243">
        <v>5899.6</v>
      </c>
      <c r="AT200" s="244" t="s">
        <v>140</v>
      </c>
      <c r="AU200" s="244">
        <v>4</v>
      </c>
      <c r="AV200" s="238">
        <v>5676.25</v>
      </c>
    </row>
    <row r="201" spans="16:89" ht="15" customHeight="1" x14ac:dyDescent="0.25">
      <c r="P201" s="238" t="str">
        <f t="shared" si="164"/>
        <v>WWILSON PC</v>
      </c>
      <c r="R201" s="369" t="s">
        <v>141</v>
      </c>
      <c r="S201" s="370">
        <v>26.46</v>
      </c>
      <c r="T201" s="371">
        <v>5738.88</v>
      </c>
      <c r="V201" s="256" t="s">
        <v>141</v>
      </c>
      <c r="W201" s="256">
        <v>25.16</v>
      </c>
      <c r="X201" s="266">
        <v>5875.18</v>
      </c>
      <c r="Z201" s="266" t="s">
        <v>141</v>
      </c>
      <c r="AA201" s="266">
        <v>2.4900000000000002</v>
      </c>
      <c r="AB201" s="238">
        <v>5626.62</v>
      </c>
      <c r="AK201" s="238">
        <f t="shared" si="165"/>
        <v>26.54</v>
      </c>
      <c r="AL201" s="238" t="s">
        <v>141</v>
      </c>
      <c r="AM201" s="238">
        <v>26.54</v>
      </c>
      <c r="AN201" s="238">
        <v>5701.7</v>
      </c>
      <c r="AO201" s="238">
        <f t="shared" si="166"/>
        <v>24.63</v>
      </c>
      <c r="AP201" s="243" t="s">
        <v>141</v>
      </c>
      <c r="AQ201" s="243">
        <v>24.63</v>
      </c>
      <c r="AR201" s="243">
        <v>5899.6</v>
      </c>
      <c r="AT201" s="244" t="s">
        <v>141</v>
      </c>
      <c r="AU201" s="244">
        <v>23.11</v>
      </c>
      <c r="AV201" s="238">
        <v>5676.25</v>
      </c>
    </row>
    <row r="202" spans="16:89" ht="15" customHeight="1" x14ac:dyDescent="0.25">
      <c r="P202" s="238" t="str">
        <f t="shared" si="164"/>
        <v>WWILSON PC</v>
      </c>
      <c r="R202" s="369" t="s">
        <v>141</v>
      </c>
      <c r="S202" s="370">
        <v>26.46</v>
      </c>
      <c r="T202" s="371">
        <v>5738.88</v>
      </c>
      <c r="V202" s="256" t="s">
        <v>141</v>
      </c>
      <c r="W202" s="256">
        <v>25.16</v>
      </c>
      <c r="X202" s="266">
        <v>5875.18</v>
      </c>
      <c r="Z202" s="266" t="s">
        <v>141</v>
      </c>
      <c r="AA202" s="266">
        <v>2.4900000000000002</v>
      </c>
      <c r="AB202" s="238">
        <v>5626.62</v>
      </c>
      <c r="AK202" s="238">
        <f t="shared" si="165"/>
        <v>23.98</v>
      </c>
      <c r="AL202" s="373" t="s">
        <v>234</v>
      </c>
      <c r="AM202" s="238">
        <v>23.98</v>
      </c>
      <c r="AN202" s="238">
        <v>5701.7</v>
      </c>
      <c r="AO202" s="238">
        <f t="shared" si="166"/>
        <v>24.46</v>
      </c>
      <c r="AP202" s="373" t="s">
        <v>234</v>
      </c>
      <c r="AQ202" s="243">
        <v>24.46</v>
      </c>
      <c r="AR202" s="243">
        <v>5899.6</v>
      </c>
      <c r="AT202" s="373" t="s">
        <v>234</v>
      </c>
      <c r="AU202" s="244">
        <v>24.13</v>
      </c>
      <c r="AV202" s="238">
        <v>5676.25</v>
      </c>
    </row>
    <row r="203" spans="16:89" ht="15" customHeight="1" x14ac:dyDescent="0.25">
      <c r="R203" s="238" t="s">
        <v>232</v>
      </c>
      <c r="S203" s="256">
        <v>0</v>
      </c>
      <c r="V203" s="238" t="s">
        <v>232</v>
      </c>
      <c r="W203" s="256">
        <v>0</v>
      </c>
      <c r="X203" s="266"/>
      <c r="Z203" s="238" t="s">
        <v>232</v>
      </c>
      <c r="AA203" s="256">
        <v>0</v>
      </c>
      <c r="AB203" s="266"/>
      <c r="AK203" s="238">
        <f t="shared" si="165"/>
        <v>230.15</v>
      </c>
      <c r="AL203" s="373" t="s">
        <v>235</v>
      </c>
      <c r="AM203" s="238">
        <v>230.15</v>
      </c>
      <c r="AN203" s="238">
        <v>5701.7</v>
      </c>
      <c r="AO203" s="238">
        <f t="shared" si="166"/>
        <v>400.65</v>
      </c>
      <c r="AP203" s="373" t="s">
        <v>235</v>
      </c>
      <c r="AQ203" s="243">
        <v>400.65</v>
      </c>
      <c r="AR203" s="243">
        <v>5899.6</v>
      </c>
      <c r="AT203" s="373" t="s">
        <v>235</v>
      </c>
      <c r="AU203" s="244">
        <v>330.28</v>
      </c>
      <c r="AV203" s="238">
        <v>5676.25</v>
      </c>
    </row>
    <row r="204" spans="16:89" ht="15" customHeight="1" x14ac:dyDescent="0.25">
      <c r="R204" s="266" t="s">
        <v>233</v>
      </c>
      <c r="S204" s="256">
        <v>0</v>
      </c>
      <c r="V204" s="266" t="s">
        <v>233</v>
      </c>
      <c r="W204" s="256">
        <v>0</v>
      </c>
      <c r="X204" s="266"/>
      <c r="Z204" s="266" t="s">
        <v>233</v>
      </c>
      <c r="AA204" s="256">
        <v>0</v>
      </c>
      <c r="AB204" s="266"/>
    </row>
    <row r="205" spans="16:89" ht="15" customHeight="1" x14ac:dyDescent="0.25">
      <c r="R205" s="266" t="s">
        <v>234</v>
      </c>
      <c r="S205" s="380">
        <v>0</v>
      </c>
      <c r="V205" s="266" t="s">
        <v>234</v>
      </c>
      <c r="W205" s="380">
        <v>0</v>
      </c>
      <c r="X205" s="266"/>
      <c r="Z205" s="266" t="s">
        <v>234</v>
      </c>
      <c r="AA205" s="380">
        <v>0</v>
      </c>
      <c r="AB205" s="266"/>
    </row>
    <row r="206" spans="16:89" ht="15" customHeight="1" x14ac:dyDescent="0.25">
      <c r="R206" s="295" t="s">
        <v>235</v>
      </c>
      <c r="S206" s="380">
        <v>0</v>
      </c>
      <c r="V206" s="295" t="s">
        <v>235</v>
      </c>
      <c r="W206" s="380">
        <v>0</v>
      </c>
      <c r="X206" s="266"/>
      <c r="Z206" s="295" t="s">
        <v>235</v>
      </c>
      <c r="AA206" s="380">
        <v>0</v>
      </c>
      <c r="AB206" s="266"/>
    </row>
    <row r="207" spans="16:89" ht="15" customHeight="1" x14ac:dyDescent="0.25">
      <c r="R207" s="266" t="s">
        <v>236</v>
      </c>
      <c r="S207" s="380">
        <v>0</v>
      </c>
      <c r="V207" s="266" t="s">
        <v>236</v>
      </c>
      <c r="W207" s="380">
        <v>0</v>
      </c>
      <c r="X207" s="266"/>
      <c r="Z207" s="266" t="s">
        <v>236</v>
      </c>
      <c r="AA207" s="380">
        <v>0</v>
      </c>
      <c r="AB207" s="266"/>
    </row>
    <row r="208" spans="16:89" ht="15" customHeight="1" x14ac:dyDescent="0.25">
      <c r="R208" s="266" t="s">
        <v>237</v>
      </c>
      <c r="S208" s="380">
        <v>0</v>
      </c>
      <c r="V208" s="266" t="s">
        <v>237</v>
      </c>
      <c r="W208" s="380">
        <v>0</v>
      </c>
      <c r="X208" s="266"/>
      <c r="Z208" s="266" t="s">
        <v>237</v>
      </c>
      <c r="AA208" s="380">
        <v>0</v>
      </c>
      <c r="AB208" s="266"/>
    </row>
    <row r="209" spans="18:28" ht="15" customHeight="1" x14ac:dyDescent="0.25">
      <c r="R209" s="381" t="s">
        <v>103</v>
      </c>
      <c r="S209" s="380">
        <v>0</v>
      </c>
      <c r="V209" s="381" t="s">
        <v>103</v>
      </c>
      <c r="W209" s="380">
        <v>0</v>
      </c>
      <c r="X209" s="266"/>
      <c r="Z209" s="381" t="s">
        <v>103</v>
      </c>
      <c r="AA209" s="380">
        <v>0</v>
      </c>
      <c r="AB209" s="266"/>
    </row>
    <row r="210" spans="18:28" ht="15" customHeight="1" x14ac:dyDescent="0.25">
      <c r="R210" s="295"/>
      <c r="S210" s="380"/>
      <c r="V210" s="295"/>
      <c r="W210" s="266"/>
      <c r="X210" s="266"/>
      <c r="Z210" s="266"/>
      <c r="AA210" s="266"/>
      <c r="AB210" s="266"/>
    </row>
    <row r="211" spans="18:28" ht="15" customHeight="1" x14ac:dyDescent="0.25">
      <c r="R211" s="382"/>
      <c r="S211" s="380"/>
      <c r="V211" s="295"/>
      <c r="W211" s="266"/>
      <c r="X211" s="266"/>
      <c r="Z211" s="266"/>
      <c r="AA211" s="266"/>
      <c r="AB211" s="266"/>
    </row>
    <row r="212" spans="18:28" ht="15" customHeight="1" x14ac:dyDescent="0.25">
      <c r="R212" s="266"/>
      <c r="S212" s="380"/>
      <c r="V212" s="266"/>
      <c r="W212" s="266"/>
      <c r="X212" s="266"/>
      <c r="Z212" s="266"/>
      <c r="AA212" s="266"/>
      <c r="AB212" s="266"/>
    </row>
    <row r="213" spans="18:28" ht="15" customHeight="1" x14ac:dyDescent="0.25">
      <c r="R213" s="295"/>
      <c r="S213" s="380"/>
      <c r="V213" s="295"/>
      <c r="W213" s="266"/>
      <c r="X213" s="266"/>
      <c r="Z213" s="266"/>
      <c r="AA213" s="266"/>
      <c r="AB213" s="266"/>
    </row>
    <row r="214" spans="18:28" ht="15" customHeight="1" x14ac:dyDescent="0.25">
      <c r="R214" s="266"/>
      <c r="S214" s="380"/>
      <c r="V214" s="266"/>
      <c r="W214" s="266"/>
      <c r="X214" s="266"/>
      <c r="Z214" s="266"/>
      <c r="AA214" s="266"/>
      <c r="AB214" s="266"/>
    </row>
    <row r="215" spans="18:28" ht="15" customHeight="1" x14ac:dyDescent="0.25">
      <c r="R215" s="266"/>
      <c r="S215" s="380"/>
      <c r="V215" s="266"/>
      <c r="W215" s="266"/>
      <c r="X215" s="266"/>
      <c r="Z215" s="266"/>
      <c r="AA215" s="266"/>
      <c r="AB215" s="266"/>
    </row>
    <row r="216" spans="18:28" ht="15" customHeight="1" x14ac:dyDescent="0.25">
      <c r="R216" s="266"/>
      <c r="S216" s="380"/>
      <c r="V216" s="266"/>
      <c r="W216" s="266"/>
      <c r="X216" s="266"/>
      <c r="Z216" s="266"/>
      <c r="AA216" s="266"/>
      <c r="AB216" s="266"/>
    </row>
    <row r="217" spans="18:28" ht="15" customHeight="1" x14ac:dyDescent="0.25">
      <c r="R217" s="266"/>
      <c r="S217" s="380"/>
      <c r="V217" s="266"/>
      <c r="W217" s="266"/>
      <c r="X217" s="266"/>
      <c r="Z217" s="266"/>
      <c r="AA217" s="266"/>
      <c r="AB217" s="266"/>
    </row>
    <row r="218" spans="18:28" ht="15" customHeight="1" x14ac:dyDescent="0.25">
      <c r="R218" s="383"/>
      <c r="S218" s="380"/>
      <c r="V218" s="383"/>
      <c r="Z218" s="266"/>
      <c r="AA218" s="266"/>
      <c r="AB218" s="266"/>
    </row>
    <row r="219" spans="18:28" ht="15" customHeight="1" x14ac:dyDescent="0.25">
      <c r="R219" s="266"/>
      <c r="S219" s="380"/>
      <c r="V219" s="266"/>
      <c r="W219" s="266"/>
      <c r="X219" s="266"/>
      <c r="Z219" s="266"/>
      <c r="AA219" s="266"/>
      <c r="AB219" s="266"/>
    </row>
    <row r="220" spans="18:28" ht="15" customHeight="1" x14ac:dyDescent="0.25">
      <c r="R220" s="245"/>
      <c r="S220" s="380"/>
      <c r="V220" s="266"/>
      <c r="W220" s="266"/>
      <c r="X220" s="266"/>
      <c r="Z220" s="266"/>
      <c r="AA220" s="266"/>
      <c r="AB220" s="266"/>
    </row>
    <row r="221" spans="18:28" ht="15" customHeight="1" x14ac:dyDescent="0.25">
      <c r="R221" s="245"/>
      <c r="S221" s="380"/>
      <c r="V221" s="266"/>
      <c r="W221" s="266"/>
      <c r="X221" s="266"/>
      <c r="Z221" s="266"/>
      <c r="AA221" s="266"/>
      <c r="AB221" s="266"/>
    </row>
    <row r="222" spans="18:28" ht="15" customHeight="1" x14ac:dyDescent="0.25">
      <c r="R222" s="245"/>
      <c r="S222" s="380"/>
      <c r="V222" s="266"/>
      <c r="W222" s="266"/>
      <c r="X222" s="266"/>
    </row>
    <row r="223" spans="18:28" ht="15" customHeight="1" x14ac:dyDescent="0.25">
      <c r="R223" s="245"/>
      <c r="S223" s="380"/>
      <c r="V223" s="266"/>
      <c r="W223" s="266"/>
      <c r="X223" s="266"/>
    </row>
    <row r="224" spans="18:28" ht="15" customHeight="1" x14ac:dyDescent="0.25">
      <c r="R224" s="245"/>
      <c r="S224" s="380"/>
      <c r="V224" s="266"/>
      <c r="W224" s="266"/>
      <c r="X224" s="266"/>
    </row>
    <row r="225" spans="18:24" ht="15" customHeight="1" x14ac:dyDescent="0.25">
      <c r="R225" s="245"/>
      <c r="S225" s="380"/>
      <c r="V225" s="266"/>
      <c r="W225" s="266"/>
      <c r="X225" s="266"/>
    </row>
    <row r="226" spans="18:24" ht="15" customHeight="1" x14ac:dyDescent="0.25">
      <c r="R226" s="245"/>
      <c r="S226" s="380"/>
      <c r="V226" s="266"/>
      <c r="W226" s="266"/>
      <c r="X226" s="266"/>
    </row>
    <row r="227" spans="18:24" ht="15" customHeight="1" x14ac:dyDescent="0.25">
      <c r="S227" s="380"/>
      <c r="V227" s="266"/>
      <c r="W227" s="266"/>
      <c r="X227" s="266"/>
    </row>
    <row r="228" spans="18:24" ht="15" customHeight="1" x14ac:dyDescent="0.25">
      <c r="S228" s="380"/>
      <c r="V228" s="266"/>
      <c r="W228" s="266"/>
      <c r="X228" s="266"/>
    </row>
    <row r="229" spans="18:24" ht="15" customHeight="1" x14ac:dyDescent="0.25">
      <c r="S229" s="380"/>
      <c r="V229" s="266"/>
      <c r="W229" s="266"/>
      <c r="X229" s="266"/>
    </row>
    <row r="230" spans="18:24" ht="15" customHeight="1" x14ac:dyDescent="0.25">
      <c r="S230" s="380"/>
      <c r="V230" s="266"/>
      <c r="W230" s="266"/>
      <c r="X230" s="266"/>
    </row>
    <row r="231" spans="18:24" ht="15" customHeight="1" x14ac:dyDescent="0.25">
      <c r="S231" s="380"/>
      <c r="V231" s="266"/>
      <c r="W231" s="266"/>
      <c r="X231" s="266"/>
    </row>
    <row r="232" spans="18:24" ht="15" customHeight="1" x14ac:dyDescent="0.25">
      <c r="S232" s="380"/>
      <c r="V232" s="266"/>
      <c r="W232" s="266"/>
      <c r="X232" s="266"/>
    </row>
    <row r="233" spans="18:24" ht="15" customHeight="1" x14ac:dyDescent="0.25">
      <c r="S233" s="380"/>
      <c r="V233" s="266"/>
      <c r="W233" s="266"/>
      <c r="X233" s="266"/>
    </row>
    <row r="234" spans="18:24" ht="15" customHeight="1" x14ac:dyDescent="0.25">
      <c r="S234" s="380"/>
      <c r="V234" s="266"/>
      <c r="W234" s="266"/>
      <c r="X234" s="266"/>
    </row>
    <row r="235" spans="18:24" ht="15" customHeight="1" x14ac:dyDescent="0.25">
      <c r="S235" s="380"/>
      <c r="V235" s="266"/>
      <c r="W235" s="266"/>
      <c r="X235" s="266"/>
    </row>
    <row r="236" spans="18:24" ht="15" customHeight="1" x14ac:dyDescent="0.25">
      <c r="S236" s="380"/>
      <c r="V236" s="238"/>
      <c r="X236" s="266"/>
    </row>
    <row r="237" spans="18:24" ht="15" customHeight="1" x14ac:dyDescent="0.25">
      <c r="S237" s="380"/>
      <c r="V237" s="266"/>
      <c r="W237" s="266"/>
      <c r="X237" s="266"/>
    </row>
    <row r="238" spans="18:24" ht="15" customHeight="1" x14ac:dyDescent="0.25">
      <c r="S238" s="380"/>
      <c r="V238" s="266"/>
      <c r="W238" s="266"/>
      <c r="X238" s="266"/>
    </row>
    <row r="239" spans="18:24" ht="15" customHeight="1" x14ac:dyDescent="0.25">
      <c r="S239" s="380"/>
      <c r="V239" s="266"/>
      <c r="W239" s="266"/>
      <c r="X239" s="266"/>
    </row>
    <row r="240" spans="18:24" ht="15" customHeight="1" x14ac:dyDescent="0.25">
      <c r="R240" s="379"/>
      <c r="S240" s="380"/>
      <c r="V240" s="379"/>
      <c r="W240" s="384"/>
      <c r="X240" s="379"/>
    </row>
    <row r="241" spans="19:24" ht="15" customHeight="1" x14ac:dyDescent="0.25">
      <c r="S241" s="380"/>
      <c r="V241" s="266"/>
      <c r="W241" s="266"/>
      <c r="X241" s="266"/>
    </row>
    <row r="242" spans="19:24" ht="15" customHeight="1" x14ac:dyDescent="0.25">
      <c r="S242" s="380"/>
      <c r="V242" s="266"/>
      <c r="W242" s="266"/>
      <c r="X242" s="266"/>
    </row>
    <row r="243" spans="19:24" ht="15" customHeight="1" x14ac:dyDescent="0.25">
      <c r="S243" s="380"/>
      <c r="V243" s="266"/>
      <c r="W243" s="266"/>
      <c r="X243" s="266"/>
    </row>
    <row r="244" spans="19:24" ht="15" customHeight="1" x14ac:dyDescent="0.25">
      <c r="S244" s="380"/>
      <c r="V244" s="266"/>
      <c r="W244" s="266"/>
      <c r="X244" s="266"/>
    </row>
    <row r="245" spans="19:24" ht="15" customHeight="1" x14ac:dyDescent="0.25">
      <c r="S245" s="380"/>
      <c r="V245" s="266"/>
      <c r="W245" s="266"/>
      <c r="X245" s="266"/>
    </row>
    <row r="246" spans="19:24" ht="15" customHeight="1" x14ac:dyDescent="0.25">
      <c r="S246" s="380"/>
      <c r="V246" s="266"/>
      <c r="W246" s="266"/>
      <c r="X246" s="266"/>
    </row>
    <row r="247" spans="19:24" ht="15" customHeight="1" x14ac:dyDescent="0.25">
      <c r="S247" s="380"/>
      <c r="V247" s="266"/>
      <c r="W247" s="266"/>
      <c r="X247" s="266"/>
    </row>
    <row r="248" spans="19:24" ht="15" customHeight="1" x14ac:dyDescent="0.25">
      <c r="S248" s="380"/>
      <c r="V248" s="266"/>
      <c r="W248" s="266"/>
      <c r="X248" s="266"/>
    </row>
    <row r="249" spans="19:24" ht="15" customHeight="1" x14ac:dyDescent="0.25">
      <c r="S249" s="380"/>
      <c r="V249" s="266"/>
      <c r="W249" s="266"/>
      <c r="X249" s="266"/>
    </row>
    <row r="250" spans="19:24" ht="15" customHeight="1" x14ac:dyDescent="0.25">
      <c r="S250" s="380"/>
      <c r="V250" s="266"/>
      <c r="W250" s="266"/>
      <c r="X250" s="266"/>
    </row>
    <row r="251" spans="19:24" ht="15" customHeight="1" x14ac:dyDescent="0.25">
      <c r="S251" s="380"/>
      <c r="V251" s="266"/>
      <c r="W251" s="266"/>
      <c r="X251" s="266"/>
    </row>
    <row r="252" spans="19:24" ht="15" customHeight="1" x14ac:dyDescent="0.25">
      <c r="S252" s="380"/>
      <c r="V252" s="266"/>
      <c r="W252" s="266"/>
      <c r="X252" s="266"/>
    </row>
    <row r="253" spans="19:24" ht="15" customHeight="1" x14ac:dyDescent="0.25">
      <c r="S253" s="380"/>
      <c r="V253" s="266"/>
      <c r="W253" s="266"/>
      <c r="X253" s="266"/>
    </row>
    <row r="254" spans="19:24" ht="15" customHeight="1" x14ac:dyDescent="0.25">
      <c r="S254" s="380"/>
      <c r="V254" s="266"/>
      <c r="W254" s="266"/>
      <c r="X254" s="266"/>
    </row>
    <row r="255" spans="19:24" ht="15" customHeight="1" x14ac:dyDescent="0.25">
      <c r="S255" s="380"/>
      <c r="V255" s="266"/>
      <c r="W255" s="266"/>
      <c r="X255" s="266"/>
    </row>
    <row r="256" spans="19:24" ht="15" customHeight="1" x14ac:dyDescent="0.25">
      <c r="S256" s="380"/>
      <c r="V256" s="266"/>
      <c r="W256" s="266"/>
      <c r="X256" s="266"/>
    </row>
    <row r="257" spans="19:24" ht="15" customHeight="1" x14ac:dyDescent="0.25">
      <c r="S257" s="380"/>
      <c r="V257" s="238"/>
      <c r="W257" s="266"/>
      <c r="X257" s="266"/>
    </row>
    <row r="258" spans="19:24" ht="15" customHeight="1" x14ac:dyDescent="0.25">
      <c r="S258" s="380"/>
      <c r="V258" s="266"/>
      <c r="W258" s="266"/>
      <c r="X258" s="266"/>
    </row>
    <row r="259" spans="19:24" ht="15" customHeight="1" x14ac:dyDescent="0.25">
      <c r="S259" s="380"/>
      <c r="V259" s="266"/>
      <c r="W259" s="266"/>
      <c r="X259" s="266"/>
    </row>
    <row r="260" spans="19:24" ht="15" customHeight="1" x14ac:dyDescent="0.25">
      <c r="S260" s="380"/>
      <c r="V260" s="266"/>
      <c r="W260" s="266"/>
      <c r="X260" s="266"/>
    </row>
    <row r="261" spans="19:24" ht="15" customHeight="1" x14ac:dyDescent="0.25">
      <c r="S261" s="380"/>
      <c r="V261" s="266"/>
      <c r="W261" s="266"/>
      <c r="X261" s="266"/>
    </row>
    <row r="262" spans="19:24" ht="15" customHeight="1" x14ac:dyDescent="0.25">
      <c r="S262" s="380"/>
      <c r="V262" s="266"/>
      <c r="W262" s="266"/>
      <c r="X262" s="266"/>
    </row>
    <row r="263" spans="19:24" ht="15" customHeight="1" x14ac:dyDescent="0.25">
      <c r="S263" s="380"/>
      <c r="V263" s="266"/>
      <c r="W263" s="266"/>
      <c r="X263" s="266"/>
    </row>
    <row r="264" spans="19:24" ht="15" customHeight="1" x14ac:dyDescent="0.25">
      <c r="S264" s="380"/>
      <c r="V264" s="266"/>
      <c r="W264" s="266"/>
      <c r="X264" s="266"/>
    </row>
    <row r="265" spans="19:24" ht="15" customHeight="1" x14ac:dyDescent="0.25">
      <c r="S265" s="380"/>
      <c r="V265" s="266"/>
      <c r="W265" s="266"/>
      <c r="X265" s="266"/>
    </row>
    <row r="266" spans="19:24" ht="15" customHeight="1" x14ac:dyDescent="0.25">
      <c r="S266" s="380"/>
      <c r="V266" s="266"/>
      <c r="W266" s="266"/>
      <c r="X266" s="266"/>
    </row>
    <row r="267" spans="19:24" ht="15" customHeight="1" x14ac:dyDescent="0.25">
      <c r="S267" s="380"/>
      <c r="V267" s="266"/>
      <c r="W267" s="266"/>
      <c r="X267" s="266"/>
    </row>
    <row r="268" spans="19:24" ht="15" customHeight="1" x14ac:dyDescent="0.25">
      <c r="S268" s="380"/>
      <c r="V268" s="266"/>
      <c r="W268" s="266"/>
      <c r="X268" s="266"/>
    </row>
    <row r="269" spans="19:24" ht="15" customHeight="1" x14ac:dyDescent="0.25">
      <c r="S269" s="380"/>
      <c r="V269" s="266"/>
      <c r="W269" s="266"/>
      <c r="X269" s="266"/>
    </row>
    <row r="270" spans="19:24" ht="15" customHeight="1" x14ac:dyDescent="0.25">
      <c r="S270" s="380"/>
      <c r="V270" s="266"/>
      <c r="W270" s="266"/>
      <c r="X270" s="266"/>
    </row>
    <row r="271" spans="19:24" ht="15" customHeight="1" x14ac:dyDescent="0.25">
      <c r="S271" s="380"/>
      <c r="V271" s="266"/>
      <c r="W271" s="266"/>
      <c r="X271" s="266"/>
    </row>
    <row r="272" spans="19:24" ht="15" customHeight="1" x14ac:dyDescent="0.25">
      <c r="S272" s="380"/>
      <c r="V272" s="266"/>
      <c r="W272" s="266"/>
      <c r="X272" s="266"/>
    </row>
    <row r="273" spans="18:24" ht="15" customHeight="1" x14ac:dyDescent="0.25">
      <c r="S273" s="380"/>
      <c r="V273" s="266"/>
      <c r="W273" s="266"/>
      <c r="X273" s="266"/>
    </row>
    <row r="274" spans="18:24" ht="15" customHeight="1" x14ac:dyDescent="0.25">
      <c r="S274" s="380"/>
      <c r="V274" s="266"/>
      <c r="W274" s="266"/>
      <c r="X274" s="266"/>
    </row>
    <row r="275" spans="18:24" ht="15" customHeight="1" x14ac:dyDescent="0.25">
      <c r="S275" s="380"/>
      <c r="V275" s="266"/>
      <c r="W275" s="266"/>
      <c r="X275" s="266"/>
    </row>
    <row r="276" spans="18:24" ht="15" customHeight="1" x14ac:dyDescent="0.25">
      <c r="S276" s="380"/>
      <c r="V276" s="266"/>
      <c r="W276" s="266"/>
      <c r="X276" s="266"/>
    </row>
    <row r="277" spans="18:24" ht="15" customHeight="1" x14ac:dyDescent="0.25">
      <c r="S277" s="380"/>
      <c r="V277" s="266"/>
      <c r="W277" s="266"/>
      <c r="X277" s="266"/>
    </row>
    <row r="278" spans="18:24" ht="15" customHeight="1" x14ac:dyDescent="0.25">
      <c r="S278" s="380"/>
      <c r="V278" s="266"/>
      <c r="W278" s="266"/>
      <c r="X278" s="266"/>
    </row>
    <row r="279" spans="18:24" ht="15" customHeight="1" x14ac:dyDescent="0.25">
      <c r="S279" s="380"/>
      <c r="V279" s="266"/>
      <c r="W279" s="266"/>
      <c r="X279" s="266"/>
    </row>
    <row r="280" spans="18:24" ht="15" customHeight="1" x14ac:dyDescent="0.25">
      <c r="R280" s="266"/>
      <c r="S280" s="380"/>
    </row>
    <row r="281" spans="18:24" ht="15" customHeight="1" x14ac:dyDescent="0.25">
      <c r="R281" s="266"/>
      <c r="S281" s="380"/>
    </row>
    <row r="282" spans="18:24" ht="15" customHeight="1" x14ac:dyDescent="0.25">
      <c r="S282" s="380"/>
    </row>
    <row r="283" spans="18:24" ht="15" customHeight="1" x14ac:dyDescent="0.25">
      <c r="S283" s="380"/>
    </row>
    <row r="284" spans="18:24" ht="15" customHeight="1" x14ac:dyDescent="0.25">
      <c r="S284" s="380"/>
    </row>
    <row r="285" spans="18:24" ht="15" customHeight="1" x14ac:dyDescent="0.25">
      <c r="S285" s="380"/>
    </row>
    <row r="286" spans="18:24" ht="15" customHeight="1" x14ac:dyDescent="0.25">
      <c r="S286" s="380"/>
    </row>
    <row r="287" spans="18:24" ht="15" customHeight="1" x14ac:dyDescent="0.25">
      <c r="S287" s="380"/>
    </row>
    <row r="288" spans="18:24" ht="15" customHeight="1" x14ac:dyDescent="0.25">
      <c r="S288" s="380"/>
    </row>
    <row r="289" spans="18:19" ht="15" customHeight="1" x14ac:dyDescent="0.25">
      <c r="R289" s="379"/>
      <c r="S289" s="380"/>
    </row>
  </sheetData>
  <sheetProtection algorithmName="SHA-512" hashValue="I6TetQmTpqPNCTTIhYlTXqeD6F3mt5VYxgXx+NLq4G8P0bbcsr17h4hz95FnGqSLlixNF7q1iVLPsf2jtRYn2Q==" saltValue="ieqiGoYQtdp8ZG+Cz4dfzg==" spinCount="100000" sheet="1" objects="1" scenarios="1" formatCells="0"/>
  <sortState ref="BG111:BI197">
    <sortCondition ref="BG110"/>
  </sortState>
  <mergeCells count="55">
    <mergeCell ref="BB104:BB105"/>
    <mergeCell ref="BB92:BB100"/>
    <mergeCell ref="BC92:BC100"/>
    <mergeCell ref="BD92:BD100"/>
    <mergeCell ref="BD46:BD53"/>
    <mergeCell ref="BC46:BC53"/>
    <mergeCell ref="BB46:BB53"/>
    <mergeCell ref="BB54:BB55"/>
    <mergeCell ref="AX2:AZ2"/>
    <mergeCell ref="AX3:AZ3"/>
    <mergeCell ref="AD2:AF2"/>
    <mergeCell ref="AD3:AF3"/>
    <mergeCell ref="R2:T2"/>
    <mergeCell ref="R3:T3"/>
    <mergeCell ref="Z2:AB2"/>
    <mergeCell ref="Z3:AB3"/>
    <mergeCell ref="V2:X2"/>
    <mergeCell ref="V3:X3"/>
    <mergeCell ref="AL2:AN2"/>
    <mergeCell ref="AL3:AN3"/>
    <mergeCell ref="AP2:AR2"/>
    <mergeCell ref="AP3:AR3"/>
    <mergeCell ref="AT2:AV2"/>
    <mergeCell ref="AT3:AV3"/>
    <mergeCell ref="AH104:AH106"/>
    <mergeCell ref="AJ43:AJ49"/>
    <mergeCell ref="AH92:AH100"/>
    <mergeCell ref="AI92:AI100"/>
    <mergeCell ref="AJ92:AJ100"/>
    <mergeCell ref="AH43:AH49"/>
    <mergeCell ref="AI43:AI49"/>
    <mergeCell ref="AH51:AH52"/>
    <mergeCell ref="BS2:BU2"/>
    <mergeCell ref="BS3:BU3"/>
    <mergeCell ref="CD3:CF3"/>
    <mergeCell ref="CH3:CJ3"/>
    <mergeCell ref="CD2:CF2"/>
    <mergeCell ref="CH2:CJ2"/>
    <mergeCell ref="BG2:BI2"/>
    <mergeCell ref="BG3:BI3"/>
    <mergeCell ref="BK2:BM2"/>
    <mergeCell ref="BK3:BM3"/>
    <mergeCell ref="BO2:BQ2"/>
    <mergeCell ref="BO3:BQ3"/>
    <mergeCell ref="CL2:CN2"/>
    <mergeCell ref="BV112:BV113"/>
    <mergeCell ref="BW104:BW105"/>
    <mergeCell ref="BV46:BV53"/>
    <mergeCell ref="BW46:BW53"/>
    <mergeCell ref="BX46:BX53"/>
    <mergeCell ref="BW54:BW55"/>
    <mergeCell ref="CL3:CN3"/>
    <mergeCell ref="BX96:BX102"/>
    <mergeCell ref="BW96:BW103"/>
    <mergeCell ref="BV96:BV102"/>
  </mergeCells>
  <phoneticPr fontId="23" type="noConversion"/>
  <conditionalFormatting sqref="AM87:AM88 AM97 AM90:AM95 AM99:AM102">
    <cfRule type="cellIs" dxfId="23" priority="26" operator="greaterThan">
      <formula>AN87</formula>
    </cfRule>
  </conditionalFormatting>
  <conditionalFormatting sqref="AQ87">
    <cfRule type="cellIs" dxfId="22" priority="25" operator="greaterThan">
      <formula>AR87</formula>
    </cfRule>
  </conditionalFormatting>
  <conditionalFormatting sqref="AU87">
    <cfRule type="cellIs" dxfId="21" priority="24" operator="greaterThan">
      <formula>AV87</formula>
    </cfRule>
  </conditionalFormatting>
  <conditionalFormatting sqref="AM96">
    <cfRule type="cellIs" dxfId="20" priority="22" operator="greaterThan">
      <formula>AN96</formula>
    </cfRule>
  </conditionalFormatting>
  <conditionalFormatting sqref="AQ96">
    <cfRule type="cellIs" dxfId="19" priority="21" operator="greaterThan">
      <formula>AR96</formula>
    </cfRule>
  </conditionalFormatting>
  <conditionalFormatting sqref="AU96">
    <cfRule type="cellIs" dxfId="18" priority="20" operator="greaterThan">
      <formula>AV96</formula>
    </cfRule>
  </conditionalFormatting>
  <conditionalFormatting sqref="AY87">
    <cfRule type="cellIs" dxfId="17" priority="18" operator="greaterThan">
      <formula>AZ87</formula>
    </cfRule>
  </conditionalFormatting>
  <conditionalFormatting sqref="AY96">
    <cfRule type="cellIs" dxfId="16" priority="17" operator="greaterThan">
      <formula>AZ96</formula>
    </cfRule>
  </conditionalFormatting>
  <conditionalFormatting sqref="AM105">
    <cfRule type="cellIs" dxfId="15" priority="16" operator="greaterThan">
      <formula>AN105</formula>
    </cfRule>
  </conditionalFormatting>
  <conditionalFormatting sqref="AQ105">
    <cfRule type="cellIs" dxfId="14" priority="15" operator="greaterThan">
      <formula>AR105</formula>
    </cfRule>
  </conditionalFormatting>
  <conditionalFormatting sqref="AU105">
    <cfRule type="cellIs" dxfId="13" priority="14" operator="greaterThan">
      <formula>AV105</formula>
    </cfRule>
  </conditionalFormatting>
  <conditionalFormatting sqref="AY105">
    <cfRule type="cellIs" dxfId="12" priority="13" operator="greaterThan">
      <formula>AZ105</formula>
    </cfRule>
  </conditionalFormatting>
  <conditionalFormatting sqref="AM89">
    <cfRule type="cellIs" dxfId="11" priority="12" operator="greaterThan">
      <formula>AN89</formula>
    </cfRule>
  </conditionalFormatting>
  <conditionalFormatting sqref="AQ89">
    <cfRule type="cellIs" dxfId="10" priority="11" operator="greaterThan">
      <formula>AR89</formula>
    </cfRule>
  </conditionalFormatting>
  <conditionalFormatting sqref="AU89">
    <cfRule type="cellIs" dxfId="9" priority="10" operator="greaterThan">
      <formula>AV89</formula>
    </cfRule>
  </conditionalFormatting>
  <conditionalFormatting sqref="AY89">
    <cfRule type="cellIs" dxfId="8" priority="9" operator="greaterThan">
      <formula>AZ89</formula>
    </cfRule>
  </conditionalFormatting>
  <conditionalFormatting sqref="AM98">
    <cfRule type="cellIs" dxfId="7" priority="8" operator="greaterThan">
      <formula>AN98</formula>
    </cfRule>
  </conditionalFormatting>
  <conditionalFormatting sqref="AQ98">
    <cfRule type="cellIs" dxfId="6" priority="7" operator="greaterThan">
      <formula>AR98</formula>
    </cfRule>
  </conditionalFormatting>
  <conditionalFormatting sqref="AU98">
    <cfRule type="cellIs" dxfId="5" priority="6" operator="greaterThan">
      <formula>AV98</formula>
    </cfRule>
  </conditionalFormatting>
  <conditionalFormatting sqref="AY98">
    <cfRule type="cellIs" dxfId="4" priority="5" operator="greaterThan">
      <formula>AZ98</formula>
    </cfRule>
  </conditionalFormatting>
  <conditionalFormatting sqref="AM103">
    <cfRule type="cellIs" dxfId="3" priority="4" operator="greaterThan">
      <formula>AN103</formula>
    </cfRule>
  </conditionalFormatting>
  <conditionalFormatting sqref="AQ103">
    <cfRule type="cellIs" dxfId="2" priority="3" operator="greaterThan">
      <formula>AR103</formula>
    </cfRule>
  </conditionalFormatting>
  <conditionalFormatting sqref="AU103">
    <cfRule type="cellIs" dxfId="1" priority="2" operator="greaterThan">
      <formula>AV103</formula>
    </cfRule>
  </conditionalFormatting>
  <conditionalFormatting sqref="AY103">
    <cfRule type="cellIs" dxfId="0" priority="1" operator="greaterThan">
      <formula>AZ103</formula>
    </cfRule>
  </conditionalFormatting>
  <printOptions horizontalCentered="1"/>
  <pageMargins left="0.75" right="0.75" top="0.5" bottom="0.51" header="0.5" footer="0.5"/>
  <pageSetup scale="65" fitToHeight="2" orientation="landscape" horizontalDpi="1200" verticalDpi="1200" r:id="rId1"/>
  <headerFooter alignWithMargins="0"/>
  <legacy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63"/>
  <sheetViews>
    <sheetView workbookViewId="0">
      <selection activeCell="A2" sqref="A2:I2"/>
    </sheetView>
  </sheetViews>
  <sheetFormatPr defaultRowHeight="12.75" x14ac:dyDescent="0.2"/>
  <cols>
    <col min="1" max="5" width="9.7109375" customWidth="1"/>
    <col min="6" max="9" width="11.140625" customWidth="1"/>
    <col min="11" max="11" width="10.5703125" customWidth="1"/>
  </cols>
  <sheetData>
    <row r="2" spans="1:12" ht="25.5" customHeight="1" x14ac:dyDescent="0.2">
      <c r="A2" s="443" t="s">
        <v>39</v>
      </c>
      <c r="B2" s="443"/>
      <c r="C2" s="443"/>
      <c r="D2" s="443"/>
      <c r="E2" s="443"/>
      <c r="F2" s="443"/>
      <c r="G2" s="443"/>
      <c r="H2" s="443"/>
      <c r="I2" s="443"/>
    </row>
    <row r="4" spans="1:12" ht="63.75" customHeight="1" x14ac:dyDescent="0.2">
      <c r="A4" s="2" t="s">
        <v>25</v>
      </c>
      <c r="B4" s="32" t="s">
        <v>44</v>
      </c>
      <c r="C4" s="32" t="s">
        <v>146</v>
      </c>
      <c r="D4" s="32" t="s">
        <v>46</v>
      </c>
      <c r="E4" s="32" t="s">
        <v>147</v>
      </c>
      <c r="F4" s="90" t="s">
        <v>66</v>
      </c>
      <c r="G4" s="90" t="s">
        <v>148</v>
      </c>
      <c r="H4" s="90" t="s">
        <v>67</v>
      </c>
      <c r="I4" s="90" t="s">
        <v>149</v>
      </c>
      <c r="K4" s="58" t="s">
        <v>60</v>
      </c>
      <c r="L4" s="58" t="s">
        <v>60</v>
      </c>
    </row>
    <row r="5" spans="1:12" x14ac:dyDescent="0.2">
      <c r="A5" s="1">
        <f>'Ex 1 HDD'!A8</f>
        <v>42522</v>
      </c>
      <c r="B5" s="73">
        <f>'Ex 4 Purchase Gas'!B6</f>
        <v>0.748</v>
      </c>
      <c r="C5" s="73">
        <f>'Ex 4 Purchase Gas'!C6</f>
        <v>830.27599999999995</v>
      </c>
      <c r="D5" s="73">
        <f>'Ex 7 Co. Owned Gas'!B8</f>
        <v>5738.9100000000008</v>
      </c>
      <c r="E5" s="73">
        <f>'Ex 7 Co. Owned Gas'!C8</f>
        <v>5344.2979461848736</v>
      </c>
      <c r="F5" s="228">
        <f t="shared" ref="F5:G16" si="0">B5/(B5+D5)</f>
        <v>1.3032135364162811E-4</v>
      </c>
      <c r="G5" s="12">
        <f t="shared" si="0"/>
        <v>0.13446692957868103</v>
      </c>
      <c r="H5" s="12">
        <f t="shared" ref="H5:I16" si="1">D5/(D5+B5)</f>
        <v>0.99986967864635845</v>
      </c>
      <c r="I5" s="12">
        <f t="shared" si="1"/>
        <v>0.865533070421319</v>
      </c>
      <c r="K5" s="12">
        <f>F5+H5</f>
        <v>1</v>
      </c>
      <c r="L5" s="12">
        <f t="shared" ref="K5:L16" si="2">G5+I5</f>
        <v>1</v>
      </c>
    </row>
    <row r="6" spans="1:12" x14ac:dyDescent="0.2">
      <c r="A6" s="1">
        <f>'Ex 1 HDD'!A9</f>
        <v>42552</v>
      </c>
      <c r="B6" s="73">
        <f>'Ex 4 Purchase Gas'!B7</f>
        <v>1.4239999999999999</v>
      </c>
      <c r="C6" s="73">
        <f>'Ex 4 Purchase Gas'!C7</f>
        <v>162.72399999999999</v>
      </c>
      <c r="D6" s="73">
        <f>'Ex 7 Co. Owned Gas'!B9</f>
        <v>5875.2499999999991</v>
      </c>
      <c r="E6" s="73">
        <f>'Ex 7 Co. Owned Gas'!C9</f>
        <v>5520.9338066577911</v>
      </c>
      <c r="F6" s="228">
        <f t="shared" si="0"/>
        <v>2.4231393471885629E-4</v>
      </c>
      <c r="G6" s="12">
        <f t="shared" si="0"/>
        <v>2.8630154301229466E-2</v>
      </c>
      <c r="H6" s="12">
        <f t="shared" si="1"/>
        <v>0.99975768606528115</v>
      </c>
      <c r="I6" s="12">
        <f t="shared" si="1"/>
        <v>0.9713698456987705</v>
      </c>
      <c r="K6" s="12">
        <f t="shared" si="2"/>
        <v>1</v>
      </c>
      <c r="L6" s="12">
        <f t="shared" si="2"/>
        <v>1</v>
      </c>
    </row>
    <row r="7" spans="1:12" x14ac:dyDescent="0.2">
      <c r="A7" s="1">
        <f>'Ex 1 HDD'!A10</f>
        <v>42583</v>
      </c>
      <c r="B7" s="73">
        <f>'Ex 4 Purchase Gas'!B8</f>
        <v>0.13200000000000001</v>
      </c>
      <c r="C7" s="73">
        <f>'Ex 4 Purchase Gas'!C8</f>
        <v>120.631</v>
      </c>
      <c r="D7" s="73">
        <f>'Ex 7 Co. Owned Gas'!B10</f>
        <v>5626.69</v>
      </c>
      <c r="E7" s="73">
        <f>'Ex 7 Co. Owned Gas'!C10</f>
        <v>5441.3772496581078</v>
      </c>
      <c r="F7" s="228">
        <f t="shared" si="0"/>
        <v>2.3459068013880664E-5</v>
      </c>
      <c r="G7" s="12">
        <f t="shared" si="0"/>
        <v>2.1688389262532123E-2</v>
      </c>
      <c r="H7" s="12">
        <f t="shared" si="1"/>
        <v>0.99997654093198618</v>
      </c>
      <c r="I7" s="12">
        <f t="shared" si="1"/>
        <v>0.97831161073746786</v>
      </c>
      <c r="K7" s="12">
        <f t="shared" si="2"/>
        <v>1</v>
      </c>
      <c r="L7" s="12">
        <f t="shared" si="2"/>
        <v>1</v>
      </c>
    </row>
    <row r="8" spans="1:12" x14ac:dyDescent="0.2">
      <c r="A8" s="1">
        <f>'Ex 1 HDD'!A11</f>
        <v>42614</v>
      </c>
      <c r="B8" s="73">
        <f>'Ex 4 Purchase Gas'!B9</f>
        <v>730</v>
      </c>
      <c r="C8" s="73">
        <f>'Ex 4 Purchase Gas'!C9</f>
        <v>521.31700000000001</v>
      </c>
      <c r="D8" s="73">
        <f>'Ex 7 Co. Owned Gas'!B11</f>
        <v>5701.7300000000023</v>
      </c>
      <c r="E8" s="73">
        <f>'Ex 7 Co. Owned Gas'!C11</f>
        <v>5176.3080141991377</v>
      </c>
      <c r="F8" s="12">
        <f t="shared" si="0"/>
        <v>0.11349978932573347</v>
      </c>
      <c r="G8" s="12">
        <f t="shared" si="0"/>
        <v>9.1497246431770776E-2</v>
      </c>
      <c r="H8" s="12">
        <f t="shared" si="1"/>
        <v>0.88650021067426654</v>
      </c>
      <c r="I8" s="12">
        <f t="shared" si="1"/>
        <v>0.90850275356822918</v>
      </c>
      <c r="K8" s="12">
        <f t="shared" si="2"/>
        <v>1</v>
      </c>
      <c r="L8" s="12">
        <f t="shared" si="2"/>
        <v>1</v>
      </c>
    </row>
    <row r="9" spans="1:12" s="33" customFormat="1" x14ac:dyDescent="0.2">
      <c r="A9" s="1">
        <f>'Ex 1 HDD'!A12</f>
        <v>42644</v>
      </c>
      <c r="B9" s="73">
        <f>'Ex 4 Purchase Gas'!B10</f>
        <v>760</v>
      </c>
      <c r="C9" s="73">
        <f>'Ex 4 Purchase Gas'!C10</f>
        <v>3811.721</v>
      </c>
      <c r="D9" s="73">
        <f>'Ex 7 Co. Owned Gas'!B12</f>
        <v>5899.58</v>
      </c>
      <c r="E9" s="73">
        <f>'Ex 7 Co. Owned Gas'!C12</f>
        <v>5307.6774236559868</v>
      </c>
      <c r="F9" s="12">
        <f t="shared" si="0"/>
        <v>0.11412131095354362</v>
      </c>
      <c r="G9" s="12">
        <f t="shared" si="0"/>
        <v>0.41797943492766848</v>
      </c>
      <c r="H9" s="12">
        <f t="shared" si="1"/>
        <v>0.88587868904645639</v>
      </c>
      <c r="I9" s="12">
        <f t="shared" si="1"/>
        <v>0.58202056507233157</v>
      </c>
      <c r="J9"/>
      <c r="K9" s="12">
        <f t="shared" si="2"/>
        <v>1</v>
      </c>
      <c r="L9" s="12">
        <f t="shared" si="2"/>
        <v>1</v>
      </c>
    </row>
    <row r="10" spans="1:12" x14ac:dyDescent="0.2">
      <c r="A10" s="1">
        <f>'Ex 1 HDD'!A13</f>
        <v>42675</v>
      </c>
      <c r="B10" s="73">
        <f>'Ex 4 Purchase Gas'!B11</f>
        <v>5190.8999999999996</v>
      </c>
      <c r="C10" s="73">
        <f>'Ex 4 Purchase Gas'!C11</f>
        <v>7397.0569999999998</v>
      </c>
      <c r="D10" s="73">
        <f>'Ex 7 Co. Owned Gas'!B13</f>
        <v>5676.22</v>
      </c>
      <c r="E10" s="73">
        <f>'Ex 7 Co. Owned Gas'!C13</f>
        <v>5238.4319805800915</v>
      </c>
      <c r="F10" s="12">
        <f t="shared" si="0"/>
        <v>0.47767025670094748</v>
      </c>
      <c r="G10" s="12">
        <f t="shared" si="0"/>
        <v>0.5854191326800875</v>
      </c>
      <c r="H10" s="12">
        <f>D10/(D10+B10)</f>
        <v>0.52232974329905257</v>
      </c>
      <c r="I10" s="12">
        <f t="shared" si="1"/>
        <v>0.4145808673199125</v>
      </c>
      <c r="K10" s="12">
        <f>F10+H10</f>
        <v>1</v>
      </c>
      <c r="L10" s="12">
        <f t="shared" si="2"/>
        <v>1</v>
      </c>
    </row>
    <row r="11" spans="1:12" x14ac:dyDescent="0.2">
      <c r="A11" s="1">
        <f>'Ex 1 HDD'!A14</f>
        <v>42705</v>
      </c>
      <c r="B11" s="73">
        <f>'Ex 4 Purchase Gas'!B12</f>
        <v>10338.923000000001</v>
      </c>
      <c r="C11" s="73">
        <f>'Ex 4 Purchase Gas'!C12</f>
        <v>7501.8310000000001</v>
      </c>
      <c r="D11" s="73">
        <f>'Ex 7 Co. Owned Gas'!B14</f>
        <v>5712.3699999999981</v>
      </c>
      <c r="E11" s="73">
        <f>'Ex 7 Co. Owned Gas'!C14</f>
        <v>5699.6538491696119</v>
      </c>
      <c r="F11" s="12">
        <f t="shared" si="0"/>
        <v>0.64411776671200272</v>
      </c>
      <c r="G11" s="12">
        <f t="shared" si="0"/>
        <v>0.56825660792784782</v>
      </c>
      <c r="H11" s="12">
        <f t="shared" si="1"/>
        <v>0.35588223328799734</v>
      </c>
      <c r="I11" s="12">
        <f t="shared" si="1"/>
        <v>0.43174339207215212</v>
      </c>
      <c r="K11" s="12">
        <f t="shared" si="2"/>
        <v>1</v>
      </c>
      <c r="L11" s="12">
        <f t="shared" si="2"/>
        <v>1</v>
      </c>
    </row>
    <row r="12" spans="1:12" x14ac:dyDescent="0.2">
      <c r="A12" s="1">
        <f>'Ex 1 HDD'!A15</f>
        <v>42736</v>
      </c>
      <c r="B12" s="73">
        <f>'Ex 4 Purchase Gas'!B13</f>
        <v>13559.912</v>
      </c>
      <c r="C12" s="73">
        <f>'Ex 4 Purchase Gas'!C13</f>
        <v>9909.7489999999998</v>
      </c>
      <c r="D12" s="73">
        <f>'Ex 7 Co. Owned Gas'!B15</f>
        <v>5410.81</v>
      </c>
      <c r="E12" s="73">
        <f>'Ex 7 Co. Owned Gas'!C15</f>
        <v>5610.8419172912836</v>
      </c>
      <c r="F12" s="12">
        <f t="shared" si="0"/>
        <v>0.71478101887740486</v>
      </c>
      <c r="G12" s="12">
        <f t="shared" si="0"/>
        <v>0.63849044490694495</v>
      </c>
      <c r="H12" s="12">
        <f t="shared" si="1"/>
        <v>0.28521898112259514</v>
      </c>
      <c r="I12" s="12">
        <f t="shared" si="1"/>
        <v>0.3615095550930551</v>
      </c>
      <c r="K12" s="12">
        <f t="shared" si="2"/>
        <v>1</v>
      </c>
      <c r="L12" s="12">
        <f t="shared" si="2"/>
        <v>1</v>
      </c>
    </row>
    <row r="13" spans="1:12" x14ac:dyDescent="0.2">
      <c r="A13" s="1">
        <f>'Ex 1 HDD'!A16</f>
        <v>42767</v>
      </c>
      <c r="B13" s="73">
        <f>'Ex 4 Purchase Gas'!B14</f>
        <v>6978.71</v>
      </c>
      <c r="C13" s="73">
        <f>'Ex 4 Purchase Gas'!C14</f>
        <v>8494.375</v>
      </c>
      <c r="D13" s="73">
        <f>'Ex 7 Co. Owned Gas'!B16</f>
        <v>4947.4699999999975</v>
      </c>
      <c r="E13" s="73">
        <f>'Ex 7 Co. Owned Gas'!C16</f>
        <v>4965.6348265111446</v>
      </c>
      <c r="F13" s="12">
        <f t="shared" si="0"/>
        <v>0.58515886897564873</v>
      </c>
      <c r="G13" s="12">
        <f t="shared" si="0"/>
        <v>0.63108237731515504</v>
      </c>
      <c r="H13" s="12">
        <f t="shared" si="1"/>
        <v>0.41484113102435138</v>
      </c>
      <c r="I13" s="12">
        <f t="shared" si="1"/>
        <v>0.36891762268484501</v>
      </c>
      <c r="K13" s="12">
        <f t="shared" si="2"/>
        <v>1</v>
      </c>
      <c r="L13" s="12">
        <f t="shared" si="2"/>
        <v>1</v>
      </c>
    </row>
    <row r="14" spans="1:12" x14ac:dyDescent="0.2">
      <c r="A14" s="1">
        <f>'Ex 1 HDD'!A17</f>
        <v>42795</v>
      </c>
      <c r="B14" s="73">
        <f>'Ex 4 Purchase Gas'!B15</f>
        <v>0</v>
      </c>
      <c r="C14" s="73">
        <f>'Ex 4 Purchase Gas'!C15</f>
        <v>6959.3530000000001</v>
      </c>
      <c r="D14" s="73">
        <f>'Ex 7 Co. Owned Gas'!B17</f>
        <v>0</v>
      </c>
      <c r="E14" s="73">
        <f>'Ex 7 Co. Owned Gas'!C17</f>
        <v>5392.7383650690317</v>
      </c>
      <c r="F14" s="12" t="e">
        <f t="shared" si="0"/>
        <v>#DIV/0!</v>
      </c>
      <c r="G14" s="12">
        <f t="shared" si="0"/>
        <v>0.56341495495091876</v>
      </c>
      <c r="H14" s="12" t="e">
        <f t="shared" si="1"/>
        <v>#DIV/0!</v>
      </c>
      <c r="I14" s="12">
        <f t="shared" si="1"/>
        <v>0.43658504504908136</v>
      </c>
      <c r="K14" s="12" t="e">
        <f t="shared" si="2"/>
        <v>#DIV/0!</v>
      </c>
      <c r="L14" s="12">
        <f t="shared" si="2"/>
        <v>1</v>
      </c>
    </row>
    <row r="15" spans="1:12" x14ac:dyDescent="0.2">
      <c r="A15" s="1">
        <f>'Ex 1 HDD'!A18</f>
        <v>42826</v>
      </c>
      <c r="B15" s="73">
        <f>'Ex 4 Purchase Gas'!B16</f>
        <v>0</v>
      </c>
      <c r="C15" s="73">
        <f>'Ex 4 Purchase Gas'!C16</f>
        <v>4824.683</v>
      </c>
      <c r="D15" s="73">
        <f>'Ex 7 Co. Owned Gas'!B18</f>
        <v>0</v>
      </c>
      <c r="E15" s="73">
        <f>'Ex 7 Co. Owned Gas'!C18</f>
        <v>5127.018007054925</v>
      </c>
      <c r="F15" s="12" t="e">
        <f t="shared" si="0"/>
        <v>#DIV/0!</v>
      </c>
      <c r="G15" s="12">
        <f t="shared" si="0"/>
        <v>0.48480988291144422</v>
      </c>
      <c r="H15" s="12" t="e">
        <f t="shared" si="1"/>
        <v>#DIV/0!</v>
      </c>
      <c r="I15" s="12">
        <f t="shared" si="1"/>
        <v>0.51519011708855567</v>
      </c>
      <c r="K15" s="12" t="e">
        <f t="shared" si="2"/>
        <v>#DIV/0!</v>
      </c>
      <c r="L15" s="12">
        <f t="shared" si="2"/>
        <v>0.99999999999999989</v>
      </c>
    </row>
    <row r="16" spans="1:12" x14ac:dyDescent="0.2">
      <c r="A16" s="1">
        <f>'Ex 1 HDD'!A19</f>
        <v>42856</v>
      </c>
      <c r="B16" s="73">
        <f>'Ex 4 Purchase Gas'!B17</f>
        <v>0</v>
      </c>
      <c r="C16" s="73">
        <f>'Ex 4 Purchase Gas'!C17</f>
        <v>3021.3760000000002</v>
      </c>
      <c r="D16" s="73">
        <f>'Ex 7 Co. Owned Gas'!B19</f>
        <v>0</v>
      </c>
      <c r="E16" s="73">
        <f>'Ex 7 Co. Owned Gas'!C19</f>
        <v>5211.2646570360657</v>
      </c>
      <c r="F16" s="12" t="e">
        <f t="shared" si="0"/>
        <v>#DIV/0!</v>
      </c>
      <c r="G16" s="12">
        <f t="shared" si="0"/>
        <v>0.36699962088321764</v>
      </c>
      <c r="H16" s="12" t="e">
        <f t="shared" si="1"/>
        <v>#DIV/0!</v>
      </c>
      <c r="I16" s="12">
        <f t="shared" si="1"/>
        <v>0.63300037911678231</v>
      </c>
      <c r="K16" s="12" t="e">
        <f t="shared" si="2"/>
        <v>#DIV/0!</v>
      </c>
      <c r="L16" s="12">
        <f t="shared" si="2"/>
        <v>1</v>
      </c>
    </row>
    <row r="17" spans="1:15" x14ac:dyDescent="0.2">
      <c r="A17" s="17"/>
      <c r="B17" s="17"/>
      <c r="C17" s="17"/>
      <c r="D17" s="17"/>
      <c r="E17" s="17"/>
      <c r="F17" s="12"/>
      <c r="G17" s="12"/>
      <c r="H17" s="12"/>
      <c r="I17" s="12"/>
    </row>
    <row r="18" spans="1:15" x14ac:dyDescent="0.2">
      <c r="A18" s="40" t="s">
        <v>48</v>
      </c>
      <c r="B18" s="37">
        <f>SUM(B5:B7)</f>
        <v>2.3039999999999998</v>
      </c>
      <c r="C18" s="37">
        <f>SUM(C5:C7)</f>
        <v>1113.6310000000001</v>
      </c>
      <c r="D18" s="37">
        <f>SUM(D5:D7)</f>
        <v>17240.849999999999</v>
      </c>
      <c r="E18" s="37">
        <f>SUM(E5:E7)</f>
        <v>16306.609002500772</v>
      </c>
      <c r="F18" s="12">
        <f t="shared" ref="F18:G18" si="3">B18/(B18+D18)</f>
        <v>1.3361824640666087E-4</v>
      </c>
      <c r="G18" s="12">
        <f t="shared" si="3"/>
        <v>6.3927420049329525E-2</v>
      </c>
      <c r="H18" s="12">
        <f t="shared" ref="H18:I20" si="4">D18/(D18+B18)</f>
        <v>0.99986638175359333</v>
      </c>
      <c r="I18" s="12">
        <f t="shared" si="4"/>
        <v>0.93607257995067039</v>
      </c>
      <c r="K18" s="12">
        <f t="shared" ref="K18:L20" si="5">F18+H18</f>
        <v>1</v>
      </c>
      <c r="L18" s="12">
        <f t="shared" si="5"/>
        <v>0.99999999999999989</v>
      </c>
    </row>
    <row r="19" spans="1:15" x14ac:dyDescent="0.2">
      <c r="A19" s="41" t="s">
        <v>49</v>
      </c>
      <c r="B19" s="37">
        <f>SUM(B8:B10)</f>
        <v>6680.9</v>
      </c>
      <c r="C19" s="37">
        <f>SUM(C8:C10)</f>
        <v>11730.095000000001</v>
      </c>
      <c r="D19" s="37">
        <f>SUM(D8:D10)</f>
        <v>17277.530000000002</v>
      </c>
      <c r="E19" s="37">
        <f>SUM(E8:E10)</f>
        <v>15722.417418435216</v>
      </c>
      <c r="F19" s="12">
        <f t="shared" ref="F19:G21" si="6">B19/(B19+D19)</f>
        <v>0.27885383140714975</v>
      </c>
      <c r="G19" s="12">
        <f t="shared" si="6"/>
        <v>0.42728675689890144</v>
      </c>
      <c r="H19" s="12">
        <f>D19/(D19+B19)</f>
        <v>0.7211461685928503</v>
      </c>
      <c r="I19" s="12">
        <f>E19/(E19+C19)</f>
        <v>0.57271324310109861</v>
      </c>
      <c r="K19" s="12">
        <f t="shared" si="5"/>
        <v>1</v>
      </c>
      <c r="L19" s="12">
        <f t="shared" si="5"/>
        <v>1</v>
      </c>
    </row>
    <row r="20" spans="1:15" x14ac:dyDescent="0.2">
      <c r="A20" s="40" t="s">
        <v>50</v>
      </c>
      <c r="B20" s="37">
        <f>SUM(B11:B13)</f>
        <v>30877.544999999998</v>
      </c>
      <c r="C20" s="37">
        <f>SUM(C11:C13)</f>
        <v>25905.955000000002</v>
      </c>
      <c r="D20" s="37">
        <f>SUM(D11:D13)</f>
        <v>16070.649999999996</v>
      </c>
      <c r="E20" s="37">
        <f>SUM(E11:E13)</f>
        <v>16276.13059297204</v>
      </c>
      <c r="F20" s="12">
        <f t="shared" si="6"/>
        <v>0.65769397524228579</v>
      </c>
      <c r="G20" s="12">
        <f t="shared" si="6"/>
        <v>0.61414590188770068</v>
      </c>
      <c r="H20" s="12">
        <f t="shared" si="4"/>
        <v>0.34230602475771432</v>
      </c>
      <c r="I20" s="12">
        <f t="shared" si="4"/>
        <v>0.38585409811229926</v>
      </c>
      <c r="K20" s="12">
        <f t="shared" si="5"/>
        <v>1</v>
      </c>
      <c r="L20" s="12">
        <f t="shared" si="5"/>
        <v>1</v>
      </c>
    </row>
    <row r="21" spans="1:15" x14ac:dyDescent="0.2">
      <c r="A21" s="41" t="s">
        <v>36</v>
      </c>
      <c r="B21" s="37">
        <f>SUM(B14:B16)</f>
        <v>0</v>
      </c>
      <c r="C21" s="37">
        <f>SUM(C14:C16)</f>
        <v>14805.412</v>
      </c>
      <c r="D21" s="37">
        <f>SUM(D14:D16)</f>
        <v>0</v>
      </c>
      <c r="E21" s="37">
        <f>SUM(E14:E16)</f>
        <v>15731.021029160023</v>
      </c>
      <c r="F21" s="12" t="e">
        <f t="shared" si="6"/>
        <v>#DIV/0!</v>
      </c>
      <c r="G21" s="12">
        <f t="shared" si="6"/>
        <v>0.48484418549677799</v>
      </c>
      <c r="H21" s="12" t="e">
        <f>D21/(D21+B21)</f>
        <v>#DIV/0!</v>
      </c>
      <c r="I21" s="12">
        <f>E21/(E21+C21)</f>
        <v>0.51515581450322201</v>
      </c>
      <c r="K21" s="12" t="e">
        <f>F21+H21</f>
        <v>#DIV/0!</v>
      </c>
      <c r="L21" s="12">
        <f>G21+I21</f>
        <v>1</v>
      </c>
    </row>
    <row r="22" spans="1:15" x14ac:dyDescent="0.2">
      <c r="A22" s="7"/>
      <c r="B22" s="9" t="s">
        <v>4</v>
      </c>
      <c r="C22" s="9" t="s">
        <v>1</v>
      </c>
      <c r="D22" s="9" t="s">
        <v>4</v>
      </c>
      <c r="E22" s="9" t="s">
        <v>1</v>
      </c>
      <c r="F22" s="9" t="s">
        <v>4</v>
      </c>
      <c r="G22" s="9" t="s">
        <v>1</v>
      </c>
      <c r="H22" s="9" t="s">
        <v>4</v>
      </c>
      <c r="I22" s="9" t="s">
        <v>1</v>
      </c>
    </row>
    <row r="24" spans="1:15" s="33" customFormat="1" ht="63.75" x14ac:dyDescent="0.2">
      <c r="E24" s="42"/>
      <c r="F24" s="42" t="str">
        <f t="shared" ref="F24:I24" si="7">F4</f>
        <v>Actual Purchase as Percent of Total</v>
      </c>
      <c r="G24" s="42" t="str">
        <f t="shared" si="7"/>
        <v>Normal Purchase as Percent of Total</v>
      </c>
      <c r="H24" s="42" t="str">
        <f t="shared" si="7"/>
        <v>Actual Cost-of-Service as Percent of Total</v>
      </c>
      <c r="I24" s="42" t="str">
        <f t="shared" si="7"/>
        <v>Normal Cost-of-Service as Percent of Total</v>
      </c>
    </row>
    <row r="25" spans="1:15" x14ac:dyDescent="0.2">
      <c r="E25" s="27">
        <f>A11</f>
        <v>42705</v>
      </c>
      <c r="F25" s="46">
        <f>F11</f>
        <v>0.64411776671200272</v>
      </c>
      <c r="G25" s="46">
        <f t="shared" ref="G25:I25" si="8">G11</f>
        <v>0.56825660792784782</v>
      </c>
      <c r="H25" s="46">
        <f t="shared" si="8"/>
        <v>0.35588223328799734</v>
      </c>
      <c r="I25" s="46">
        <f t="shared" si="8"/>
        <v>0.43174339207215212</v>
      </c>
      <c r="K25" s="12">
        <f t="shared" ref="K25:L27" si="9">F25+H25</f>
        <v>1</v>
      </c>
      <c r="L25" s="12">
        <f t="shared" si="9"/>
        <v>1</v>
      </c>
    </row>
    <row r="26" spans="1:15" x14ac:dyDescent="0.2">
      <c r="E26" s="27">
        <f t="shared" ref="E26:E27" si="10">A12</f>
        <v>42736</v>
      </c>
      <c r="F26" s="46">
        <f t="shared" ref="F26:I26" si="11">F12</f>
        <v>0.71478101887740486</v>
      </c>
      <c r="G26" s="46">
        <f t="shared" si="11"/>
        <v>0.63849044490694495</v>
      </c>
      <c r="H26" s="46">
        <f t="shared" si="11"/>
        <v>0.28521898112259514</v>
      </c>
      <c r="I26" s="46">
        <f t="shared" si="11"/>
        <v>0.3615095550930551</v>
      </c>
      <c r="K26" s="12">
        <f t="shared" si="9"/>
        <v>1</v>
      </c>
      <c r="L26" s="12">
        <f t="shared" si="9"/>
        <v>1</v>
      </c>
    </row>
    <row r="27" spans="1:15" x14ac:dyDescent="0.2">
      <c r="E27" s="27">
        <f t="shared" si="10"/>
        <v>42767</v>
      </c>
      <c r="F27" s="46">
        <f t="shared" ref="F27:I27" si="12">F13</f>
        <v>0.58515886897564873</v>
      </c>
      <c r="G27" s="46">
        <f t="shared" si="12"/>
        <v>0.63108237731515504</v>
      </c>
      <c r="H27" s="46">
        <f t="shared" si="12"/>
        <v>0.41484113102435138</v>
      </c>
      <c r="I27" s="46">
        <f t="shared" si="12"/>
        <v>0.36891762268484501</v>
      </c>
      <c r="K27" s="12">
        <f t="shared" si="9"/>
        <v>1</v>
      </c>
      <c r="L27" s="12">
        <f t="shared" si="9"/>
        <v>1</v>
      </c>
    </row>
    <row r="28" spans="1:15" x14ac:dyDescent="0.2">
      <c r="E28" s="19"/>
      <c r="F28" s="20"/>
      <c r="G28" s="20"/>
      <c r="H28" s="20"/>
      <c r="I28" s="20"/>
      <c r="K28" s="12"/>
      <c r="L28" s="12"/>
    </row>
    <row r="29" spans="1:15" x14ac:dyDescent="0.2">
      <c r="E29" s="20" t="str">
        <f>A18</f>
        <v>Q1</v>
      </c>
      <c r="F29" s="20">
        <f>F18</f>
        <v>1.3361824640666087E-4</v>
      </c>
      <c r="G29" s="46">
        <f t="shared" ref="G29:I32" si="13">G18</f>
        <v>6.3927420049329525E-2</v>
      </c>
      <c r="H29" s="20">
        <f t="shared" si="13"/>
        <v>0.99986638175359333</v>
      </c>
      <c r="I29" s="46">
        <f t="shared" si="13"/>
        <v>0.93607257995067039</v>
      </c>
      <c r="K29" s="12">
        <f t="shared" ref="K29:L32" si="14">F29+H29</f>
        <v>1</v>
      </c>
      <c r="L29" s="12">
        <f t="shared" si="14"/>
        <v>0.99999999999999989</v>
      </c>
    </row>
    <row r="30" spans="1:15" x14ac:dyDescent="0.2">
      <c r="E30" s="19" t="str">
        <f>A19</f>
        <v>Q2</v>
      </c>
      <c r="F30" s="20">
        <f>F19</f>
        <v>0.27885383140714975</v>
      </c>
      <c r="G30" s="46">
        <f t="shared" si="13"/>
        <v>0.42728675689890144</v>
      </c>
      <c r="H30" s="20">
        <f t="shared" si="13"/>
        <v>0.7211461685928503</v>
      </c>
      <c r="I30" s="46">
        <f t="shared" si="13"/>
        <v>0.57271324310109861</v>
      </c>
      <c r="K30" s="12">
        <f t="shared" si="14"/>
        <v>1</v>
      </c>
      <c r="L30" s="12">
        <f t="shared" si="14"/>
        <v>1</v>
      </c>
    </row>
    <row r="31" spans="1:15" x14ac:dyDescent="0.2">
      <c r="E31" s="19" t="str">
        <f>A20</f>
        <v>Q3</v>
      </c>
      <c r="F31" s="20">
        <f>F20</f>
        <v>0.65769397524228579</v>
      </c>
      <c r="G31" s="64">
        <f t="shared" ref="G31:I31" si="15">G20</f>
        <v>0.61414590188770068</v>
      </c>
      <c r="H31" s="20">
        <f>H20</f>
        <v>0.34230602475771432</v>
      </c>
      <c r="I31" s="64">
        <f t="shared" si="15"/>
        <v>0.38585409811229926</v>
      </c>
      <c r="K31" s="12">
        <f t="shared" si="14"/>
        <v>1</v>
      </c>
      <c r="L31" s="12">
        <f t="shared" si="14"/>
        <v>1</v>
      </c>
    </row>
    <row r="32" spans="1:15" x14ac:dyDescent="0.2">
      <c r="E32" s="20" t="s">
        <v>36</v>
      </c>
      <c r="F32" s="20" t="e">
        <f>F21</f>
        <v>#DIV/0!</v>
      </c>
      <c r="G32" s="64">
        <f t="shared" si="13"/>
        <v>0.48484418549677799</v>
      </c>
      <c r="H32" s="20" t="e">
        <f t="shared" si="13"/>
        <v>#DIV/0!</v>
      </c>
      <c r="I32" s="64">
        <f t="shared" si="13"/>
        <v>0.51515581450322201</v>
      </c>
      <c r="K32" s="12" t="e">
        <f t="shared" si="14"/>
        <v>#DIV/0!</v>
      </c>
      <c r="L32" s="12">
        <f t="shared" si="14"/>
        <v>1</v>
      </c>
      <c r="N32" s="46" t="e">
        <f>F32-G32</f>
        <v>#DIV/0!</v>
      </c>
      <c r="O32" s="46" t="e">
        <f>I32-H32</f>
        <v>#DIV/0!</v>
      </c>
    </row>
    <row r="34" spans="1:12" x14ac:dyDescent="0.2">
      <c r="E34" s="19"/>
      <c r="F34" s="46">
        <f>AVERAGE((F25:F27))</f>
        <v>0.64801921818835206</v>
      </c>
      <c r="G34" s="46">
        <f t="shared" ref="G34:I34" si="16">AVERAGE((G25:G27))</f>
        <v>0.61260981004998261</v>
      </c>
      <c r="H34" s="46">
        <f t="shared" si="16"/>
        <v>0.35198078181164799</v>
      </c>
      <c r="I34" s="46">
        <f t="shared" si="16"/>
        <v>0.38739018995001739</v>
      </c>
      <c r="K34" s="46"/>
    </row>
    <row r="35" spans="1:12" x14ac:dyDescent="0.2">
      <c r="F35" s="89"/>
    </row>
    <row r="36" spans="1:12" s="20" customFormat="1" x14ac:dyDescent="0.2">
      <c r="A36"/>
      <c r="B36"/>
      <c r="C36"/>
      <c r="D36"/>
      <c r="E36"/>
      <c r="F36"/>
      <c r="G36"/>
      <c r="H36"/>
      <c r="I36"/>
    </row>
    <row r="38" spans="1:12" ht="38.25" x14ac:dyDescent="0.2">
      <c r="A38" s="2" t="s">
        <v>25</v>
      </c>
      <c r="B38" s="32" t="s">
        <v>40</v>
      </c>
      <c r="C38" s="32" t="s">
        <v>41</v>
      </c>
      <c r="D38" s="32" t="s">
        <v>42</v>
      </c>
      <c r="E38" s="32" t="s">
        <v>43</v>
      </c>
      <c r="F38" s="32" t="s">
        <v>44</v>
      </c>
      <c r="G38" s="32" t="s">
        <v>45</v>
      </c>
      <c r="H38" s="32" t="s">
        <v>46</v>
      </c>
      <c r="I38" s="32" t="s">
        <v>47</v>
      </c>
    </row>
    <row r="39" spans="1:12" x14ac:dyDescent="0.2">
      <c r="A39" s="1">
        <v>39203</v>
      </c>
      <c r="B39" s="73">
        <v>2863.87</v>
      </c>
      <c r="C39" s="12">
        <f>B39/(B39+D39)</f>
        <v>0.42514811829273902</v>
      </c>
      <c r="D39" s="73">
        <v>3872.3</v>
      </c>
      <c r="E39" s="12">
        <f>D39/(B39+D39)</f>
        <v>0.57485188170726098</v>
      </c>
      <c r="F39" s="73">
        <f>'Ex 4 Purchase Gas'!B25</f>
        <v>0</v>
      </c>
      <c r="G39" s="12" t="e">
        <f>F39/(F39+H39)</f>
        <v>#REF!</v>
      </c>
      <c r="H39" s="73" t="e">
        <f>'Ex 7 Co. Owned Gas'!#REF!</f>
        <v>#REF!</v>
      </c>
      <c r="I39" s="12" t="e">
        <f>H39/(F39+H39)</f>
        <v>#REF!</v>
      </c>
      <c r="K39" s="12"/>
      <c r="L39" s="12"/>
    </row>
    <row r="40" spans="1:12" x14ac:dyDescent="0.2">
      <c r="A40" s="1">
        <v>39234</v>
      </c>
      <c r="B40" s="73">
        <v>2502.37</v>
      </c>
      <c r="C40" s="12">
        <f t="shared" ref="C40:C52" si="17">B40/(B40+D40)</f>
        <v>0.41151580533016713</v>
      </c>
      <c r="D40" s="73">
        <v>3578.49</v>
      </c>
      <c r="E40" s="12">
        <f t="shared" ref="E40:E52" si="18">D40/(B40+D40)</f>
        <v>0.58848419466983293</v>
      </c>
      <c r="F40" s="73">
        <f>'Ex 4 Purchase Gas'!B26</f>
        <v>0</v>
      </c>
      <c r="G40" s="12" t="e">
        <f t="shared" ref="G40:G50" si="19">F40/(F40+H40)</f>
        <v>#REF!</v>
      </c>
      <c r="H40" s="73" t="e">
        <f>'Ex 7 Co. Owned Gas'!#REF!</f>
        <v>#REF!</v>
      </c>
      <c r="I40" s="12" t="e">
        <f t="shared" ref="I40:I47" si="20">H40/(F40+H40)</f>
        <v>#REF!</v>
      </c>
      <c r="K40" s="12"/>
      <c r="L40" s="12"/>
    </row>
    <row r="41" spans="1:12" x14ac:dyDescent="0.2">
      <c r="A41" s="1">
        <v>39264</v>
      </c>
      <c r="B41" s="73">
        <v>1912.54</v>
      </c>
      <c r="C41" s="12">
        <f t="shared" si="17"/>
        <v>0.34860733144618439</v>
      </c>
      <c r="D41" s="73">
        <v>3573.69</v>
      </c>
      <c r="E41" s="12">
        <f t="shared" si="18"/>
        <v>0.65139266855381572</v>
      </c>
      <c r="F41" s="73">
        <f>'Ex 4 Purchase Gas'!B27</f>
        <v>0</v>
      </c>
      <c r="G41" s="12" t="e">
        <f t="shared" si="19"/>
        <v>#REF!</v>
      </c>
      <c r="H41" s="73" t="e">
        <f>'Ex 7 Co. Owned Gas'!#REF!</f>
        <v>#REF!</v>
      </c>
      <c r="I41" s="12" t="e">
        <f t="shared" si="20"/>
        <v>#REF!</v>
      </c>
      <c r="K41" s="12"/>
      <c r="L41" s="12"/>
    </row>
    <row r="42" spans="1:12" x14ac:dyDescent="0.2">
      <c r="A42" s="1">
        <v>39295</v>
      </c>
      <c r="B42" s="73">
        <v>1911.41</v>
      </c>
      <c r="C42" s="12">
        <f t="shared" si="17"/>
        <v>0.36235741516949038</v>
      </c>
      <c r="D42" s="73">
        <v>3363.52</v>
      </c>
      <c r="E42" s="12">
        <f t="shared" si="18"/>
        <v>0.63764258483050951</v>
      </c>
      <c r="F42" s="73">
        <f>'Ex 4 Purchase Gas'!B28</f>
        <v>0</v>
      </c>
      <c r="G42" s="12" t="e">
        <f t="shared" si="19"/>
        <v>#REF!</v>
      </c>
      <c r="H42" s="73" t="e">
        <f>'Ex 7 Co. Owned Gas'!#REF!</f>
        <v>#REF!</v>
      </c>
      <c r="I42" s="12" t="e">
        <f t="shared" si="20"/>
        <v>#REF!</v>
      </c>
      <c r="K42" s="12"/>
      <c r="L42" s="12"/>
    </row>
    <row r="43" spans="1:12" x14ac:dyDescent="0.2">
      <c r="A43" s="1">
        <v>39326</v>
      </c>
      <c r="B43" s="73">
        <v>1888.66</v>
      </c>
      <c r="C43" s="12">
        <f t="shared" si="17"/>
        <v>0.33740290551017926</v>
      </c>
      <c r="D43" s="73">
        <v>3708.98</v>
      </c>
      <c r="E43" s="12">
        <f t="shared" si="18"/>
        <v>0.66259709448982063</v>
      </c>
      <c r="F43" s="73">
        <f>'Ex 4 Purchase Gas'!B29</f>
        <v>0</v>
      </c>
      <c r="G43" s="12" t="e">
        <f t="shared" si="19"/>
        <v>#REF!</v>
      </c>
      <c r="H43" s="73" t="e">
        <f>'Ex 7 Co. Owned Gas'!#REF!</f>
        <v>#REF!</v>
      </c>
      <c r="I43" s="12" t="e">
        <f t="shared" si="20"/>
        <v>#REF!</v>
      </c>
      <c r="K43" s="12"/>
      <c r="L43" s="12"/>
    </row>
    <row r="44" spans="1:12" x14ac:dyDescent="0.2">
      <c r="A44" s="1">
        <v>39356</v>
      </c>
      <c r="B44" s="73">
        <v>3249.19</v>
      </c>
      <c r="C44" s="12">
        <f t="shared" si="17"/>
        <v>0.41722020979209545</v>
      </c>
      <c r="D44" s="73">
        <v>4538.5200000000004</v>
      </c>
      <c r="E44" s="12">
        <f t="shared" si="18"/>
        <v>0.58277979020790449</v>
      </c>
      <c r="F44" s="73">
        <f>'Ex 4 Purchase Gas'!B30</f>
        <v>0</v>
      </c>
      <c r="G44" s="12" t="e">
        <f t="shared" si="19"/>
        <v>#REF!</v>
      </c>
      <c r="H44" s="73" t="e">
        <f>'Ex 7 Co. Owned Gas'!#REF!</f>
        <v>#REF!</v>
      </c>
      <c r="I44" s="12" t="e">
        <f t="shared" si="20"/>
        <v>#REF!</v>
      </c>
      <c r="K44" s="12"/>
      <c r="L44" s="12"/>
    </row>
    <row r="45" spans="1:12" x14ac:dyDescent="0.2">
      <c r="A45" s="36">
        <v>39387</v>
      </c>
      <c r="B45" s="37">
        <v>7356.08</v>
      </c>
      <c r="C45" s="38">
        <f t="shared" si="17"/>
        <v>0.61598701718481252</v>
      </c>
      <c r="D45" s="37">
        <v>4585.8599999999997</v>
      </c>
      <c r="E45" s="38">
        <f t="shared" si="18"/>
        <v>0.38401298281518748</v>
      </c>
      <c r="F45" s="37">
        <f>'Ex 4 Purchase Gas'!B31</f>
        <v>0</v>
      </c>
      <c r="G45" s="38" t="e">
        <f t="shared" si="19"/>
        <v>#REF!</v>
      </c>
      <c r="H45" s="73" t="e">
        <f>'Ex 7 Co. Owned Gas'!#REF!</f>
        <v>#REF!</v>
      </c>
      <c r="I45" s="38" t="e">
        <f t="shared" si="20"/>
        <v>#REF!</v>
      </c>
      <c r="K45" s="12"/>
      <c r="L45" s="12"/>
    </row>
    <row r="46" spans="1:12" x14ac:dyDescent="0.2">
      <c r="A46" s="36">
        <v>39417</v>
      </c>
      <c r="B46" s="37">
        <v>9769.2999999999993</v>
      </c>
      <c r="C46" s="38">
        <f t="shared" si="17"/>
        <v>0.6688603022479287</v>
      </c>
      <c r="D46" s="37">
        <v>4836.59</v>
      </c>
      <c r="E46" s="38">
        <f t="shared" si="18"/>
        <v>0.33113969775207125</v>
      </c>
      <c r="F46" s="37">
        <f>'Ex 4 Purchase Gas'!B32</f>
        <v>0</v>
      </c>
      <c r="G46" s="38" t="e">
        <f t="shared" si="19"/>
        <v>#REF!</v>
      </c>
      <c r="H46" s="73" t="e">
        <f>'Ex 7 Co. Owned Gas'!#REF!</f>
        <v>#REF!</v>
      </c>
      <c r="I46" s="38" t="e">
        <f t="shared" si="20"/>
        <v>#REF!</v>
      </c>
      <c r="K46" s="12"/>
      <c r="L46" s="12"/>
    </row>
    <row r="47" spans="1:12" x14ac:dyDescent="0.2">
      <c r="A47" s="36">
        <v>39448</v>
      </c>
      <c r="B47" s="37">
        <v>9619.3700000000008</v>
      </c>
      <c r="C47" s="38">
        <f t="shared" si="17"/>
        <v>0.66880415269757088</v>
      </c>
      <c r="D47" s="37">
        <v>4763.57</v>
      </c>
      <c r="E47" s="38">
        <f t="shared" si="18"/>
        <v>0.33119584730242907</v>
      </c>
      <c r="F47" s="37">
        <f>'Ex 4 Purchase Gas'!B33</f>
        <v>0</v>
      </c>
      <c r="G47" s="38" t="e">
        <f t="shared" si="19"/>
        <v>#REF!</v>
      </c>
      <c r="H47" s="73" t="e">
        <f>'Ex 7 Co. Owned Gas'!#REF!</f>
        <v>#REF!</v>
      </c>
      <c r="I47" s="38" t="e">
        <f t="shared" si="20"/>
        <v>#REF!</v>
      </c>
      <c r="K47" s="12"/>
      <c r="L47" s="12"/>
    </row>
    <row r="48" spans="1:12" x14ac:dyDescent="0.2">
      <c r="A48" s="36">
        <v>39479</v>
      </c>
      <c r="B48" s="37">
        <v>11765.37</v>
      </c>
      <c r="C48" s="38">
        <f t="shared" si="17"/>
        <v>0.73234354390841916</v>
      </c>
      <c r="D48" s="37">
        <v>4300</v>
      </c>
      <c r="E48" s="38">
        <f t="shared" si="18"/>
        <v>0.26765645609158084</v>
      </c>
      <c r="F48" s="37">
        <f>'Ex 4 Purchase Gas'!B34</f>
        <v>0</v>
      </c>
      <c r="G48" s="38" t="e">
        <f>F48/(F48+H48)</f>
        <v>#REF!</v>
      </c>
      <c r="H48" s="73" t="e">
        <f>'Ex 7 Co. Owned Gas'!#REF!</f>
        <v>#REF!</v>
      </c>
      <c r="I48" s="38" t="e">
        <f>H48/(F48+H48)</f>
        <v>#REF!</v>
      </c>
      <c r="K48" s="12"/>
      <c r="L48" s="12"/>
    </row>
    <row r="49" spans="1:12" x14ac:dyDescent="0.2">
      <c r="A49" s="36">
        <v>39508</v>
      </c>
      <c r="B49" s="37">
        <v>9287.5</v>
      </c>
      <c r="C49" s="38">
        <f t="shared" si="17"/>
        <v>0.6825280176373324</v>
      </c>
      <c r="D49" s="37">
        <v>4320</v>
      </c>
      <c r="E49" s="38">
        <f t="shared" si="18"/>
        <v>0.31747198236266766</v>
      </c>
      <c r="F49" s="37">
        <f>'Ex 4 Purchase Gas'!B35</f>
        <v>0</v>
      </c>
      <c r="G49" s="38" t="e">
        <f t="shared" si="19"/>
        <v>#REF!</v>
      </c>
      <c r="H49" s="73" t="e">
        <f>'Ex 7 Co. Owned Gas'!#REF!</f>
        <v>#REF!</v>
      </c>
      <c r="I49" s="38" t="e">
        <f>H49/(F49+H49)</f>
        <v>#REF!</v>
      </c>
      <c r="K49" s="12"/>
      <c r="L49" s="12"/>
    </row>
    <row r="50" spans="1:12" x14ac:dyDescent="0.2">
      <c r="A50" s="36">
        <v>39539</v>
      </c>
      <c r="B50" s="37">
        <v>2159.56</v>
      </c>
      <c r="C50" s="38">
        <f t="shared" si="17"/>
        <v>0.34205107736364271</v>
      </c>
      <c r="D50" s="37">
        <v>4154</v>
      </c>
      <c r="E50" s="38">
        <f t="shared" si="18"/>
        <v>0.6579489226363574</v>
      </c>
      <c r="F50" s="37">
        <f>'Ex 4 Purchase Gas'!B36</f>
        <v>0</v>
      </c>
      <c r="G50" s="38" t="e">
        <f t="shared" si="19"/>
        <v>#REF!</v>
      </c>
      <c r="H50" s="73" t="e">
        <f>'Ex 7 Co. Owned Gas'!#REF!</f>
        <v>#REF!</v>
      </c>
      <c r="I50" s="38" t="e">
        <f>H50/(F50+H50)</f>
        <v>#REF!</v>
      </c>
      <c r="K50" s="12"/>
      <c r="L50" s="12"/>
    </row>
    <row r="51" spans="1:12" x14ac:dyDescent="0.2">
      <c r="A51" s="17"/>
      <c r="B51" s="17"/>
      <c r="C51" s="17"/>
      <c r="D51" s="17"/>
      <c r="E51" s="17"/>
      <c r="F51" s="17"/>
      <c r="G51" s="17"/>
      <c r="H51" s="17"/>
      <c r="I51" s="17"/>
      <c r="K51" s="12"/>
      <c r="L51" s="12"/>
    </row>
    <row r="52" spans="1:12" x14ac:dyDescent="0.2">
      <c r="A52" s="39" t="s">
        <v>26</v>
      </c>
      <c r="B52" s="37">
        <f>SUM(B39:B41)</f>
        <v>7278.78</v>
      </c>
      <c r="C52" s="38">
        <f t="shared" si="17"/>
        <v>0.3976766980308426</v>
      </c>
      <c r="D52" s="37">
        <f>SUM(D39:D41)</f>
        <v>11024.48</v>
      </c>
      <c r="E52" s="38">
        <f t="shared" si="18"/>
        <v>0.6023233019691574</v>
      </c>
      <c r="F52" s="37">
        <f>SUM(F39:F41)</f>
        <v>0</v>
      </c>
      <c r="G52" s="38" t="e">
        <f>F52/(F52+H52)</f>
        <v>#REF!</v>
      </c>
      <c r="H52" s="37" t="e">
        <f>SUM(H39:H41)</f>
        <v>#REF!</v>
      </c>
      <c r="I52" s="38" t="e">
        <f>H52/(F52+H52)</f>
        <v>#REF!</v>
      </c>
      <c r="K52" s="12"/>
      <c r="L52" s="12"/>
    </row>
    <row r="53" spans="1:12" x14ac:dyDescent="0.2">
      <c r="A53" s="13" t="s">
        <v>27</v>
      </c>
      <c r="B53" s="73">
        <f>SUM(B42:B44)</f>
        <v>7049.26</v>
      </c>
      <c r="C53" s="12">
        <f>B53/(B53+D53)</f>
        <v>0.37776817925561679</v>
      </c>
      <c r="D53" s="73">
        <f>SUM(D42:D44)</f>
        <v>11611.02</v>
      </c>
      <c r="E53" s="12">
        <f>D53/(B53+D53)</f>
        <v>0.62223182074438332</v>
      </c>
      <c r="F53" s="73">
        <f>SUM(F42:F44)</f>
        <v>0</v>
      </c>
      <c r="G53" s="12" t="e">
        <f>F53/(F53+H53)</f>
        <v>#REF!</v>
      </c>
      <c r="H53" s="73" t="e">
        <f>SUM(H42:H44)</f>
        <v>#REF!</v>
      </c>
      <c r="I53" s="12" t="e">
        <f>H53/(F53+H53)</f>
        <v>#REF!</v>
      </c>
      <c r="K53" s="12"/>
      <c r="L53" s="12"/>
    </row>
    <row r="54" spans="1:12" x14ac:dyDescent="0.2">
      <c r="A54" s="13" t="s">
        <v>28</v>
      </c>
      <c r="B54" s="73">
        <f>SUM(B45:B47)</f>
        <v>26744.75</v>
      </c>
      <c r="C54" s="12">
        <f>B54/(B54+D54)</f>
        <v>0.65341428954305036</v>
      </c>
      <c r="D54" s="73">
        <f>SUM(D45:D47)</f>
        <v>14186.02</v>
      </c>
      <c r="E54" s="12">
        <f>D54/(B54+D54)</f>
        <v>0.34658571045694958</v>
      </c>
      <c r="F54" s="73">
        <f>SUM(F45:F47)</f>
        <v>0</v>
      </c>
      <c r="G54" s="12" t="e">
        <f>F54/(F54+H54)</f>
        <v>#REF!</v>
      </c>
      <c r="H54" s="73" t="e">
        <f>SUM(H45:H47)</f>
        <v>#REF!</v>
      </c>
      <c r="I54" s="12" t="e">
        <f>H54/(F54+H54)</f>
        <v>#REF!</v>
      </c>
      <c r="K54" s="12"/>
      <c r="L54" s="12"/>
    </row>
    <row r="55" spans="1:12" x14ac:dyDescent="0.2">
      <c r="A55" s="13" t="s">
        <v>35</v>
      </c>
      <c r="B55" s="73">
        <f>SUM(B48:B50)</f>
        <v>23212.430000000004</v>
      </c>
      <c r="C55" s="12">
        <f>B55/(B55+D55)</f>
        <v>0.64503286377670688</v>
      </c>
      <c r="D55" s="73">
        <f>SUM(D48:D50)</f>
        <v>12774</v>
      </c>
      <c r="E55" s="12">
        <f>D55/(B55+D55)</f>
        <v>0.35496713622329296</v>
      </c>
      <c r="F55" s="73">
        <f>SUM(F48:F50)</f>
        <v>0</v>
      </c>
      <c r="G55" s="12" t="e">
        <f>F55/(F55+H55)</f>
        <v>#REF!</v>
      </c>
      <c r="H55" s="73" t="e">
        <f>SUM(H48:H50)</f>
        <v>#REF!</v>
      </c>
      <c r="I55" s="12" t="e">
        <f>H55/(F55+H55)</f>
        <v>#REF!</v>
      </c>
      <c r="K55" s="12"/>
      <c r="L55" s="12"/>
    </row>
    <row r="56" spans="1:12" x14ac:dyDescent="0.2">
      <c r="A56" s="7"/>
      <c r="B56" s="9" t="s">
        <v>4</v>
      </c>
      <c r="C56" s="9" t="s">
        <v>4</v>
      </c>
      <c r="D56" s="9" t="s">
        <v>4</v>
      </c>
      <c r="E56" s="9" t="s">
        <v>4</v>
      </c>
      <c r="F56" s="9" t="s">
        <v>1</v>
      </c>
      <c r="G56" s="9" t="s">
        <v>1</v>
      </c>
      <c r="H56" s="9" t="s">
        <v>1</v>
      </c>
      <c r="I56" s="9" t="s">
        <v>1</v>
      </c>
    </row>
    <row r="58" spans="1:12" x14ac:dyDescent="0.2">
      <c r="A58" s="21"/>
      <c r="B58" s="21" t="s">
        <v>30</v>
      </c>
      <c r="C58" s="21" t="s">
        <v>31</v>
      </c>
      <c r="D58" s="21" t="s">
        <v>32</v>
      </c>
      <c r="E58" s="21" t="s">
        <v>33</v>
      </c>
    </row>
    <row r="59" spans="1:12" x14ac:dyDescent="0.2">
      <c r="A59" s="27">
        <f>A48</f>
        <v>39479</v>
      </c>
      <c r="B59" s="20">
        <f>C48</f>
        <v>0.73234354390841916</v>
      </c>
      <c r="C59" s="20" t="e">
        <f>G48</f>
        <v>#REF!</v>
      </c>
      <c r="D59" s="20">
        <f>E48</f>
        <v>0.26765645609158084</v>
      </c>
      <c r="E59" s="20" t="e">
        <f>I48</f>
        <v>#REF!</v>
      </c>
    </row>
    <row r="60" spans="1:12" x14ac:dyDescent="0.2">
      <c r="A60" s="27">
        <f>A49</f>
        <v>39508</v>
      </c>
      <c r="B60" s="20">
        <f>C49</f>
        <v>0.6825280176373324</v>
      </c>
      <c r="C60" s="20" t="e">
        <f>G49</f>
        <v>#REF!</v>
      </c>
      <c r="D60" s="20">
        <f>E49</f>
        <v>0.31747198236266766</v>
      </c>
      <c r="E60" s="20" t="e">
        <f>I49</f>
        <v>#REF!</v>
      </c>
    </row>
    <row r="61" spans="1:12" x14ac:dyDescent="0.2">
      <c r="A61" s="27">
        <f>A50</f>
        <v>39539</v>
      </c>
      <c r="B61" s="20">
        <f>C50</f>
        <v>0.34205107736364271</v>
      </c>
      <c r="C61" s="20" t="e">
        <f>G50</f>
        <v>#REF!</v>
      </c>
      <c r="D61" s="20">
        <f>E50</f>
        <v>0.6579489226363574</v>
      </c>
      <c r="E61" s="20" t="e">
        <f>I50</f>
        <v>#REF!</v>
      </c>
    </row>
    <row r="62" spans="1:12" x14ac:dyDescent="0.2">
      <c r="A62" s="19"/>
      <c r="B62" s="20"/>
      <c r="C62" s="20"/>
      <c r="D62" s="20"/>
      <c r="E62" s="20"/>
    </row>
    <row r="63" spans="1:12" x14ac:dyDescent="0.2">
      <c r="A63" s="20" t="s">
        <v>36</v>
      </c>
      <c r="B63" s="20">
        <f>C55</f>
        <v>0.64503286377670688</v>
      </c>
      <c r="C63" s="20" t="e">
        <f>G55</f>
        <v>#REF!</v>
      </c>
      <c r="D63" s="20">
        <f>E55</f>
        <v>0.35496713622329296</v>
      </c>
      <c r="E63" s="20" t="e">
        <f>I55</f>
        <v>#REF!</v>
      </c>
      <c r="F63" s="20"/>
      <c r="G63" s="20"/>
      <c r="H63" s="20"/>
      <c r="I63" s="20"/>
    </row>
  </sheetData>
  <mergeCells count="1">
    <mergeCell ref="A2:I2"/>
  </mergeCells>
  <pageMargins left="0.75" right="0.75" top="1" bottom="1" header="0.5" footer="0.5"/>
  <pageSetup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E18"/>
  <sheetViews>
    <sheetView showGridLines="0" workbookViewId="0">
      <selection activeCell="B5" sqref="B5"/>
    </sheetView>
  </sheetViews>
  <sheetFormatPr defaultRowHeight="12.75" x14ac:dyDescent="0.2"/>
  <cols>
    <col min="1" max="1" width="9.28515625" customWidth="1"/>
    <col min="2" max="5" width="17.28515625" customWidth="1"/>
  </cols>
  <sheetData>
    <row r="1" spans="1:5" ht="13.5" thickBot="1" x14ac:dyDescent="0.25">
      <c r="A1" s="8"/>
      <c r="B1" s="8"/>
      <c r="C1" s="8"/>
      <c r="D1" s="8"/>
      <c r="E1" s="8"/>
    </row>
    <row r="2" spans="1:5" s="26" customFormat="1" ht="39.75" customHeight="1" x14ac:dyDescent="0.2">
      <c r="A2" s="197"/>
      <c r="B2" s="57" t="str">
        <f>'Normal Purchase %'!F24</f>
        <v>Actual Purchase as Percent of Total</v>
      </c>
      <c r="C2" s="57" t="str">
        <f>'Normal Purchase %'!G24</f>
        <v>Normal Purchase as Percent of Total</v>
      </c>
      <c r="D2" s="57" t="str">
        <f>'Normal Purchase %'!H24</f>
        <v>Actual Cost-of-Service as Percent of Total</v>
      </c>
      <c r="E2" s="57" t="str">
        <f>'Normal Purchase %'!I24</f>
        <v>Normal Cost-of-Service as Percent of Total</v>
      </c>
    </row>
    <row r="3" spans="1:5" s="22" customFormat="1" ht="13.5" customHeight="1" x14ac:dyDescent="0.2">
      <c r="A3" s="116"/>
      <c r="B3" s="23"/>
      <c r="C3" s="23"/>
      <c r="D3" s="23"/>
      <c r="E3" s="23"/>
    </row>
    <row r="4" spans="1:5" ht="12" customHeight="1" x14ac:dyDescent="0.2">
      <c r="A4" s="117">
        <f>'Normal Purchase %'!E25</f>
        <v>42705</v>
      </c>
      <c r="B4" s="24">
        <f>'Normal Purchase %'!F25</f>
        <v>0.64411776671200272</v>
      </c>
      <c r="C4" s="24">
        <f>'Normal Purchase %'!G25</f>
        <v>0.56825660792784782</v>
      </c>
      <c r="D4" s="24">
        <f>'Normal Purchase %'!H25</f>
        <v>0.35588223328799734</v>
      </c>
      <c r="E4" s="24">
        <f>'Normal Purchase %'!I25</f>
        <v>0.43174339207215212</v>
      </c>
    </row>
    <row r="5" spans="1:5" ht="12" customHeight="1" x14ac:dyDescent="0.2">
      <c r="A5" s="117">
        <f>'Normal Purchase %'!E26</f>
        <v>42736</v>
      </c>
      <c r="B5" s="24">
        <f>'Normal Purchase %'!F26</f>
        <v>0.71478101887740486</v>
      </c>
      <c r="C5" s="24">
        <f>'Normal Purchase %'!G26</f>
        <v>0.63849044490694495</v>
      </c>
      <c r="D5" s="24">
        <f>'Normal Purchase %'!H26</f>
        <v>0.28521898112259514</v>
      </c>
      <c r="E5" s="24">
        <f>'Normal Purchase %'!I26</f>
        <v>0.3615095550930551</v>
      </c>
    </row>
    <row r="6" spans="1:5" ht="12" customHeight="1" x14ac:dyDescent="0.2">
      <c r="A6" s="117">
        <f>'Normal Purchase %'!E27</f>
        <v>42767</v>
      </c>
      <c r="B6" s="24">
        <f>'Normal Purchase %'!F27</f>
        <v>0.58515886897564873</v>
      </c>
      <c r="C6" s="24">
        <f>'Normal Purchase %'!G27</f>
        <v>0.63108237731515504</v>
      </c>
      <c r="D6" s="24">
        <f>'Normal Purchase %'!H27</f>
        <v>0.41484113102435138</v>
      </c>
      <c r="E6" s="24">
        <f>'Normal Purchase %'!I27</f>
        <v>0.36891762268484501</v>
      </c>
    </row>
    <row r="7" spans="1:5" ht="12" customHeight="1" x14ac:dyDescent="0.2">
      <c r="A7" s="117"/>
      <c r="B7" s="24"/>
      <c r="C7" s="24"/>
      <c r="D7" s="24"/>
      <c r="E7" s="24"/>
    </row>
    <row r="8" spans="1:5" ht="12" customHeight="1" x14ac:dyDescent="0.2">
      <c r="A8" s="118" t="str">
        <f>'Normal Purchase %'!E31</f>
        <v>Q3</v>
      </c>
      <c r="B8" s="24">
        <f>'Normal Purchase %'!F20</f>
        <v>0.65769397524228579</v>
      </c>
      <c r="C8" s="24">
        <f>'Normal Purchase %'!G20</f>
        <v>0.61414590188770068</v>
      </c>
      <c r="D8" s="24">
        <f>'Normal Purchase %'!H20</f>
        <v>0.34230602475771432</v>
      </c>
      <c r="E8" s="24">
        <f>'Normal Purchase %'!I20</f>
        <v>0.38585409811229926</v>
      </c>
    </row>
    <row r="9" spans="1:5" ht="6.75" customHeight="1" thickBot="1" x14ac:dyDescent="0.25">
      <c r="A9" s="119"/>
      <c r="B9" s="25"/>
      <c r="C9" s="25"/>
      <c r="D9" s="25"/>
      <c r="E9" s="25"/>
    </row>
    <row r="10" spans="1:5" x14ac:dyDescent="0.2">
      <c r="A10" s="8"/>
      <c r="B10" s="8"/>
      <c r="C10" s="8"/>
      <c r="D10" s="8"/>
      <c r="E10" s="8"/>
    </row>
    <row r="15" spans="1:5" x14ac:dyDescent="0.2">
      <c r="B15" s="46"/>
      <c r="C15" s="46">
        <f>B8-C8</f>
        <v>4.3548073354585104E-2</v>
      </c>
      <c r="D15" s="46">
        <f>E8-D8</f>
        <v>4.3548073354584937E-2</v>
      </c>
      <c r="E15" s="46"/>
    </row>
    <row r="18" spans="2:5" x14ac:dyDescent="0.2">
      <c r="B18" s="42"/>
      <c r="C18" s="42"/>
      <c r="D18" s="42"/>
      <c r="E18" s="42"/>
    </row>
  </sheetData>
  <phoneticPr fontId="23" type="noConversion"/>
  <pageMargins left="0.75" right="0.75" top="1" bottom="1" header="0.5" footer="0.5"/>
  <pageSetup scale="105" orientation="portrait" r:id="rId1"/>
  <headerFooter alignWithMargins="0"/>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75"/>
  <sheetViews>
    <sheetView workbookViewId="0">
      <selection activeCell="G4" sqref="G4:K6"/>
    </sheetView>
  </sheetViews>
  <sheetFormatPr defaultRowHeight="12.75" x14ac:dyDescent="0.2"/>
  <cols>
    <col min="1" max="1" width="25.5703125" customWidth="1"/>
    <col min="2" max="4" width="10.140625" customWidth="1"/>
    <col min="5" max="5" width="21" style="8" customWidth="1"/>
    <col min="6" max="6" width="4" customWidth="1"/>
    <col min="7" max="7" width="24.7109375" customWidth="1"/>
    <col min="8" max="11" width="17.42578125" customWidth="1"/>
  </cols>
  <sheetData>
    <row r="1" spans="1:11" x14ac:dyDescent="0.2">
      <c r="A1" s="451" t="s">
        <v>208</v>
      </c>
      <c r="B1" s="451"/>
    </row>
    <row r="2" spans="1:11" x14ac:dyDescent="0.2">
      <c r="A2" s="452" t="s">
        <v>212</v>
      </c>
      <c r="B2" s="452"/>
    </row>
    <row r="3" spans="1:11" ht="13.5" thickBot="1" x14ac:dyDescent="0.25"/>
    <row r="4" spans="1:11" ht="25.5" x14ac:dyDescent="0.2">
      <c r="A4" s="197"/>
      <c r="B4" s="198" t="s">
        <v>171</v>
      </c>
      <c r="C4" s="198" t="s">
        <v>172</v>
      </c>
      <c r="D4" s="199" t="s">
        <v>173</v>
      </c>
      <c r="E4" s="199" t="s">
        <v>207</v>
      </c>
      <c r="G4" s="234"/>
      <c r="H4" s="198" t="s">
        <v>175</v>
      </c>
      <c r="I4" s="198" t="s">
        <v>176</v>
      </c>
      <c r="J4" s="199" t="s">
        <v>177</v>
      </c>
      <c r="K4" s="199" t="s">
        <v>207</v>
      </c>
    </row>
    <row r="5" spans="1:11" x14ac:dyDescent="0.2">
      <c r="A5" s="203" t="s">
        <v>205</v>
      </c>
      <c r="B5" s="200">
        <v>59</v>
      </c>
      <c r="C5" s="201">
        <v>780</v>
      </c>
      <c r="D5" s="202">
        <v>0</v>
      </c>
      <c r="E5" s="221">
        <f>E41</f>
        <v>25950</v>
      </c>
      <c r="G5" s="235" t="s">
        <v>205</v>
      </c>
      <c r="H5" s="200">
        <f>H41/30</f>
        <v>0</v>
      </c>
      <c r="I5" s="201">
        <f>I41/30</f>
        <v>0</v>
      </c>
      <c r="J5" s="202">
        <v>0</v>
      </c>
      <c r="K5" s="221">
        <f>K41</f>
        <v>0</v>
      </c>
    </row>
    <row r="6" spans="1:11" ht="13.5" thickBot="1" x14ac:dyDescent="0.25">
      <c r="A6" s="229" t="s">
        <v>253</v>
      </c>
      <c r="B6" s="230">
        <v>0</v>
      </c>
      <c r="C6" s="231">
        <v>0</v>
      </c>
      <c r="D6" s="232">
        <v>5724</v>
      </c>
      <c r="E6" s="233">
        <f>E75</f>
        <v>160272</v>
      </c>
      <c r="G6" s="236" t="s">
        <v>206</v>
      </c>
      <c r="H6" s="230">
        <f>H75/30</f>
        <v>0</v>
      </c>
      <c r="I6" s="231">
        <f>I75/31</f>
        <v>0</v>
      </c>
      <c r="J6" s="232">
        <v>0</v>
      </c>
      <c r="K6" s="233">
        <f>K75</f>
        <v>0</v>
      </c>
    </row>
    <row r="7" spans="1:11" x14ac:dyDescent="0.2">
      <c r="E7" s="24"/>
    </row>
    <row r="8" spans="1:11" x14ac:dyDescent="0.2">
      <c r="E8" s="24"/>
    </row>
    <row r="9" spans="1:11" x14ac:dyDescent="0.2">
      <c r="E9" s="24"/>
    </row>
    <row r="10" spans="1:11" x14ac:dyDescent="0.2">
      <c r="A10">
        <v>1</v>
      </c>
      <c r="B10">
        <v>59</v>
      </c>
      <c r="C10" s="73">
        <f>C5</f>
        <v>780</v>
      </c>
      <c r="D10">
        <v>0</v>
      </c>
      <c r="E10" s="24"/>
      <c r="G10">
        <f>A10</f>
        <v>1</v>
      </c>
    </row>
    <row r="11" spans="1:11" x14ac:dyDescent="0.2">
      <c r="A11">
        <v>2</v>
      </c>
      <c r="B11">
        <v>59</v>
      </c>
      <c r="C11" s="73">
        <v>780</v>
      </c>
      <c r="D11">
        <v>0</v>
      </c>
      <c r="E11" s="24"/>
      <c r="G11">
        <f t="shared" ref="G11:G74" si="0">A11</f>
        <v>2</v>
      </c>
    </row>
    <row r="12" spans="1:11" x14ac:dyDescent="0.2">
      <c r="A12">
        <v>3</v>
      </c>
      <c r="B12">
        <v>59</v>
      </c>
      <c r="C12" s="73">
        <v>780</v>
      </c>
      <c r="D12">
        <v>0</v>
      </c>
      <c r="E12" s="24"/>
      <c r="G12">
        <f t="shared" si="0"/>
        <v>3</v>
      </c>
    </row>
    <row r="13" spans="1:11" x14ac:dyDescent="0.2">
      <c r="A13">
        <v>4</v>
      </c>
      <c r="B13">
        <v>59</v>
      </c>
      <c r="C13" s="73">
        <v>780</v>
      </c>
      <c r="D13">
        <v>0</v>
      </c>
      <c r="E13" s="24"/>
      <c r="G13">
        <f t="shared" si="0"/>
        <v>4</v>
      </c>
    </row>
    <row r="14" spans="1:11" x14ac:dyDescent="0.2">
      <c r="A14">
        <v>5</v>
      </c>
      <c r="B14">
        <v>59</v>
      </c>
      <c r="C14" s="73">
        <v>780</v>
      </c>
      <c r="D14">
        <v>0</v>
      </c>
      <c r="E14" s="24"/>
      <c r="G14">
        <f t="shared" si="0"/>
        <v>5</v>
      </c>
    </row>
    <row r="15" spans="1:11" x14ac:dyDescent="0.2">
      <c r="A15">
        <v>6</v>
      </c>
      <c r="B15">
        <v>59</v>
      </c>
      <c r="C15" s="73">
        <v>780</v>
      </c>
      <c r="D15">
        <v>0</v>
      </c>
      <c r="E15" s="24"/>
      <c r="G15">
        <f t="shared" si="0"/>
        <v>6</v>
      </c>
    </row>
    <row r="16" spans="1:11" x14ac:dyDescent="0.2">
      <c r="A16">
        <v>7</v>
      </c>
      <c r="B16">
        <v>59</v>
      </c>
      <c r="C16" s="73">
        <f t="shared" ref="C16" si="1">C11</f>
        <v>780</v>
      </c>
      <c r="D16">
        <v>0</v>
      </c>
      <c r="E16" s="24"/>
      <c r="G16">
        <f t="shared" si="0"/>
        <v>7</v>
      </c>
    </row>
    <row r="17" spans="1:7" x14ac:dyDescent="0.2">
      <c r="A17">
        <v>8</v>
      </c>
      <c r="B17">
        <v>59</v>
      </c>
      <c r="C17" s="73">
        <v>780</v>
      </c>
      <c r="D17">
        <v>0</v>
      </c>
      <c r="E17" s="24"/>
      <c r="G17">
        <f t="shared" si="0"/>
        <v>8</v>
      </c>
    </row>
    <row r="18" spans="1:7" x14ac:dyDescent="0.2">
      <c r="A18">
        <v>9</v>
      </c>
      <c r="B18">
        <v>59</v>
      </c>
      <c r="C18" s="73">
        <v>780</v>
      </c>
      <c r="D18">
        <v>0</v>
      </c>
      <c r="E18" s="24"/>
      <c r="G18">
        <f t="shared" si="0"/>
        <v>9</v>
      </c>
    </row>
    <row r="19" spans="1:7" x14ac:dyDescent="0.2">
      <c r="A19">
        <v>10</v>
      </c>
      <c r="B19">
        <v>59</v>
      </c>
      <c r="C19" s="73">
        <f t="shared" ref="C19" si="2">C14</f>
        <v>780</v>
      </c>
      <c r="D19">
        <v>0</v>
      </c>
      <c r="E19" s="24"/>
      <c r="G19">
        <f t="shared" si="0"/>
        <v>10</v>
      </c>
    </row>
    <row r="20" spans="1:7" x14ac:dyDescent="0.2">
      <c r="A20">
        <v>11</v>
      </c>
      <c r="B20">
        <v>59</v>
      </c>
      <c r="C20" s="73">
        <v>780</v>
      </c>
      <c r="D20">
        <v>0</v>
      </c>
      <c r="E20" s="24"/>
      <c r="G20">
        <f t="shared" si="0"/>
        <v>11</v>
      </c>
    </row>
    <row r="21" spans="1:7" x14ac:dyDescent="0.2">
      <c r="A21">
        <v>12</v>
      </c>
      <c r="B21">
        <v>59</v>
      </c>
      <c r="C21" s="73">
        <v>780</v>
      </c>
      <c r="D21">
        <v>0</v>
      </c>
      <c r="E21" s="24"/>
      <c r="G21">
        <f t="shared" si="0"/>
        <v>12</v>
      </c>
    </row>
    <row r="22" spans="1:7" x14ac:dyDescent="0.2">
      <c r="A22">
        <v>13</v>
      </c>
      <c r="B22">
        <v>59</v>
      </c>
      <c r="C22" s="73">
        <f t="shared" ref="C22" si="3">C17</f>
        <v>780</v>
      </c>
      <c r="D22">
        <v>0</v>
      </c>
      <c r="E22" s="24"/>
      <c r="G22">
        <f t="shared" si="0"/>
        <v>13</v>
      </c>
    </row>
    <row r="23" spans="1:7" x14ac:dyDescent="0.2">
      <c r="A23">
        <v>14</v>
      </c>
      <c r="B23">
        <v>59</v>
      </c>
      <c r="C23" s="73">
        <v>780</v>
      </c>
      <c r="D23">
        <v>0</v>
      </c>
      <c r="E23" s="24"/>
      <c r="G23">
        <f t="shared" si="0"/>
        <v>14</v>
      </c>
    </row>
    <row r="24" spans="1:7" x14ac:dyDescent="0.2">
      <c r="A24">
        <v>15</v>
      </c>
      <c r="B24">
        <v>59</v>
      </c>
      <c r="C24" s="73">
        <v>780</v>
      </c>
      <c r="D24">
        <v>0</v>
      </c>
      <c r="E24" s="24"/>
      <c r="G24">
        <f t="shared" si="0"/>
        <v>15</v>
      </c>
    </row>
    <row r="25" spans="1:7" x14ac:dyDescent="0.2">
      <c r="A25">
        <v>16</v>
      </c>
      <c r="B25">
        <v>59</v>
      </c>
      <c r="C25" s="73">
        <f t="shared" ref="C25" si="4">C20</f>
        <v>780</v>
      </c>
      <c r="D25">
        <v>0</v>
      </c>
      <c r="G25">
        <f t="shared" si="0"/>
        <v>16</v>
      </c>
    </row>
    <row r="26" spans="1:7" x14ac:dyDescent="0.2">
      <c r="A26">
        <v>17</v>
      </c>
      <c r="B26">
        <v>59</v>
      </c>
      <c r="C26" s="73">
        <v>780</v>
      </c>
      <c r="D26">
        <v>0</v>
      </c>
      <c r="G26">
        <f t="shared" si="0"/>
        <v>17</v>
      </c>
    </row>
    <row r="27" spans="1:7" x14ac:dyDescent="0.2">
      <c r="A27">
        <v>18</v>
      </c>
      <c r="B27">
        <v>59</v>
      </c>
      <c r="C27" s="73">
        <v>780</v>
      </c>
      <c r="D27">
        <v>0</v>
      </c>
      <c r="G27">
        <f t="shared" si="0"/>
        <v>18</v>
      </c>
    </row>
    <row r="28" spans="1:7" x14ac:dyDescent="0.2">
      <c r="A28">
        <v>19</v>
      </c>
      <c r="B28">
        <v>59</v>
      </c>
      <c r="C28" s="73">
        <f t="shared" ref="C28" si="5">C23</f>
        <v>780</v>
      </c>
      <c r="D28">
        <v>0</v>
      </c>
      <c r="G28">
        <f t="shared" si="0"/>
        <v>19</v>
      </c>
    </row>
    <row r="29" spans="1:7" x14ac:dyDescent="0.2">
      <c r="A29">
        <v>20</v>
      </c>
      <c r="B29">
        <v>59</v>
      </c>
      <c r="C29" s="73">
        <v>780</v>
      </c>
      <c r="D29">
        <v>0</v>
      </c>
      <c r="G29">
        <f t="shared" si="0"/>
        <v>20</v>
      </c>
    </row>
    <row r="30" spans="1:7" x14ac:dyDescent="0.2">
      <c r="A30">
        <v>21</v>
      </c>
      <c r="B30">
        <v>59</v>
      </c>
      <c r="C30" s="73">
        <v>780</v>
      </c>
      <c r="D30">
        <v>0</v>
      </c>
      <c r="G30">
        <f t="shared" si="0"/>
        <v>21</v>
      </c>
    </row>
    <row r="31" spans="1:7" x14ac:dyDescent="0.2">
      <c r="A31">
        <v>22</v>
      </c>
      <c r="B31">
        <v>59</v>
      </c>
      <c r="C31" s="73">
        <f t="shared" ref="C31" si="6">C26</f>
        <v>780</v>
      </c>
      <c r="D31">
        <v>0</v>
      </c>
      <c r="G31">
        <f t="shared" si="0"/>
        <v>22</v>
      </c>
    </row>
    <row r="32" spans="1:7" x14ac:dyDescent="0.2">
      <c r="A32">
        <v>23</v>
      </c>
      <c r="B32">
        <v>59</v>
      </c>
      <c r="C32" s="73">
        <v>780</v>
      </c>
      <c r="D32">
        <v>0</v>
      </c>
      <c r="G32">
        <f t="shared" si="0"/>
        <v>23</v>
      </c>
    </row>
    <row r="33" spans="1:11" x14ac:dyDescent="0.2">
      <c r="A33">
        <v>24</v>
      </c>
      <c r="B33">
        <v>59</v>
      </c>
      <c r="C33" s="73">
        <v>780</v>
      </c>
      <c r="D33">
        <v>0</v>
      </c>
      <c r="G33">
        <f t="shared" si="0"/>
        <v>24</v>
      </c>
    </row>
    <row r="34" spans="1:11" x14ac:dyDescent="0.2">
      <c r="A34">
        <v>25</v>
      </c>
      <c r="B34">
        <v>59</v>
      </c>
      <c r="C34" s="73">
        <f t="shared" ref="C34" si="7">C29</f>
        <v>780</v>
      </c>
      <c r="D34">
        <v>0</v>
      </c>
      <c r="G34">
        <f t="shared" si="0"/>
        <v>25</v>
      </c>
    </row>
    <row r="35" spans="1:11" x14ac:dyDescent="0.2">
      <c r="A35">
        <v>26</v>
      </c>
      <c r="B35">
        <v>59</v>
      </c>
      <c r="C35" s="73">
        <v>780</v>
      </c>
      <c r="D35">
        <v>0</v>
      </c>
      <c r="G35">
        <f t="shared" si="0"/>
        <v>26</v>
      </c>
    </row>
    <row r="36" spans="1:11" x14ac:dyDescent="0.2">
      <c r="A36">
        <v>27</v>
      </c>
      <c r="B36">
        <v>59</v>
      </c>
      <c r="C36" s="73">
        <v>780</v>
      </c>
      <c r="D36">
        <v>0</v>
      </c>
      <c r="G36">
        <f t="shared" si="0"/>
        <v>27</v>
      </c>
    </row>
    <row r="37" spans="1:11" x14ac:dyDescent="0.2">
      <c r="A37">
        <v>28</v>
      </c>
      <c r="B37">
        <v>59</v>
      </c>
      <c r="C37" s="73">
        <f t="shared" ref="C37" si="8">C32</f>
        <v>780</v>
      </c>
      <c r="D37">
        <v>0</v>
      </c>
      <c r="G37">
        <f t="shared" si="0"/>
        <v>28</v>
      </c>
    </row>
    <row r="38" spans="1:11" x14ac:dyDescent="0.2">
      <c r="A38">
        <v>29</v>
      </c>
      <c r="B38">
        <v>59</v>
      </c>
      <c r="C38" s="73">
        <v>780</v>
      </c>
      <c r="D38">
        <v>0</v>
      </c>
      <c r="G38">
        <f t="shared" si="0"/>
        <v>29</v>
      </c>
    </row>
    <row r="39" spans="1:11" x14ac:dyDescent="0.2">
      <c r="A39">
        <v>30</v>
      </c>
      <c r="B39">
        <v>59</v>
      </c>
      <c r="C39" s="73">
        <v>780</v>
      </c>
      <c r="D39">
        <v>0</v>
      </c>
      <c r="G39">
        <f t="shared" si="0"/>
        <v>30</v>
      </c>
    </row>
    <row r="40" spans="1:11" x14ac:dyDescent="0.2">
      <c r="A40">
        <v>31</v>
      </c>
      <c r="B40">
        <v>0</v>
      </c>
      <c r="C40" s="73">
        <f t="shared" ref="C40" si="9">C35</f>
        <v>780</v>
      </c>
      <c r="D40">
        <v>0</v>
      </c>
      <c r="G40">
        <f t="shared" si="0"/>
        <v>31</v>
      </c>
    </row>
    <row r="41" spans="1:11" x14ac:dyDescent="0.2">
      <c r="B41">
        <f>SUM(B10:B40)</f>
        <v>1770</v>
      </c>
      <c r="C41">
        <f t="shared" ref="C41:D41" si="10">SUM(C10:C40)</f>
        <v>24180</v>
      </c>
      <c r="D41">
        <f t="shared" si="10"/>
        <v>0</v>
      </c>
      <c r="E41" s="8">
        <f>SUM(B41:D41)</f>
        <v>25950</v>
      </c>
      <c r="H41" s="50">
        <v>0</v>
      </c>
      <c r="I41" s="50">
        <v>0</v>
      </c>
      <c r="J41" s="50">
        <v>0</v>
      </c>
      <c r="K41" s="73">
        <f>SUM(H41:J41)</f>
        <v>0</v>
      </c>
    </row>
    <row r="44" spans="1:11" x14ac:dyDescent="0.2">
      <c r="A44">
        <v>1</v>
      </c>
      <c r="B44">
        <v>0</v>
      </c>
      <c r="C44">
        <v>0</v>
      </c>
      <c r="D44">
        <v>0</v>
      </c>
      <c r="G44">
        <f t="shared" si="0"/>
        <v>1</v>
      </c>
      <c r="H44">
        <v>0</v>
      </c>
      <c r="I44">
        <v>0</v>
      </c>
      <c r="J44">
        <v>0</v>
      </c>
    </row>
    <row r="45" spans="1:11" x14ac:dyDescent="0.2">
      <c r="A45">
        <v>2</v>
      </c>
      <c r="B45">
        <v>0</v>
      </c>
      <c r="C45">
        <v>0</v>
      </c>
      <c r="D45">
        <v>0</v>
      </c>
      <c r="G45">
        <f t="shared" si="0"/>
        <v>2</v>
      </c>
      <c r="H45">
        <v>0</v>
      </c>
      <c r="I45">
        <v>0</v>
      </c>
      <c r="J45">
        <v>0</v>
      </c>
    </row>
    <row r="46" spans="1:11" x14ac:dyDescent="0.2">
      <c r="A46">
        <v>3</v>
      </c>
      <c r="B46">
        <v>0</v>
      </c>
      <c r="C46">
        <v>0</v>
      </c>
      <c r="D46">
        <v>0</v>
      </c>
      <c r="G46">
        <f t="shared" si="0"/>
        <v>3</v>
      </c>
      <c r="H46">
        <v>0</v>
      </c>
      <c r="I46">
        <v>0</v>
      </c>
      <c r="J46">
        <v>0</v>
      </c>
    </row>
    <row r="47" spans="1:11" x14ac:dyDescent="0.2">
      <c r="A47">
        <v>4</v>
      </c>
      <c r="B47">
        <v>0</v>
      </c>
      <c r="C47">
        <v>0</v>
      </c>
      <c r="D47">
        <v>5724</v>
      </c>
      <c r="G47">
        <f t="shared" si="0"/>
        <v>4</v>
      </c>
      <c r="H47">
        <v>0</v>
      </c>
      <c r="I47">
        <v>0</v>
      </c>
      <c r="J47">
        <v>0</v>
      </c>
    </row>
    <row r="48" spans="1:11" x14ac:dyDescent="0.2">
      <c r="A48">
        <v>5</v>
      </c>
      <c r="B48">
        <v>0</v>
      </c>
      <c r="C48">
        <v>0</v>
      </c>
      <c r="D48">
        <v>5724</v>
      </c>
      <c r="G48">
        <f t="shared" si="0"/>
        <v>5</v>
      </c>
      <c r="H48">
        <v>0</v>
      </c>
      <c r="I48">
        <v>0</v>
      </c>
      <c r="J48">
        <v>0</v>
      </c>
    </row>
    <row r="49" spans="1:10" x14ac:dyDescent="0.2">
      <c r="A49">
        <v>6</v>
      </c>
      <c r="B49">
        <v>0</v>
      </c>
      <c r="C49">
        <v>0</v>
      </c>
      <c r="D49">
        <v>5724</v>
      </c>
      <c r="G49">
        <f t="shared" si="0"/>
        <v>6</v>
      </c>
      <c r="H49">
        <v>0</v>
      </c>
      <c r="I49">
        <v>0</v>
      </c>
      <c r="J49">
        <v>0</v>
      </c>
    </row>
    <row r="50" spans="1:10" x14ac:dyDescent="0.2">
      <c r="A50">
        <v>7</v>
      </c>
      <c r="B50">
        <v>0</v>
      </c>
      <c r="C50">
        <v>0</v>
      </c>
      <c r="D50">
        <v>5724</v>
      </c>
      <c r="G50">
        <f t="shared" si="0"/>
        <v>7</v>
      </c>
      <c r="H50">
        <v>0</v>
      </c>
      <c r="I50">
        <v>0</v>
      </c>
      <c r="J50">
        <v>0</v>
      </c>
    </row>
    <row r="51" spans="1:10" x14ac:dyDescent="0.2">
      <c r="A51">
        <v>8</v>
      </c>
      <c r="B51">
        <v>0</v>
      </c>
      <c r="C51">
        <v>0</v>
      </c>
      <c r="D51">
        <v>5724</v>
      </c>
      <c r="G51">
        <f t="shared" si="0"/>
        <v>8</v>
      </c>
      <c r="H51">
        <v>0</v>
      </c>
      <c r="I51">
        <v>0</v>
      </c>
      <c r="J51">
        <v>0</v>
      </c>
    </row>
    <row r="52" spans="1:10" x14ac:dyDescent="0.2">
      <c r="A52">
        <v>9</v>
      </c>
      <c r="B52">
        <v>0</v>
      </c>
      <c r="C52">
        <v>0</v>
      </c>
      <c r="D52">
        <v>5724</v>
      </c>
      <c r="G52">
        <f t="shared" si="0"/>
        <v>9</v>
      </c>
      <c r="H52">
        <v>0</v>
      </c>
      <c r="I52">
        <v>0</v>
      </c>
      <c r="J52">
        <v>0</v>
      </c>
    </row>
    <row r="53" spans="1:10" x14ac:dyDescent="0.2">
      <c r="A53">
        <v>10</v>
      </c>
      <c r="B53">
        <v>0</v>
      </c>
      <c r="C53">
        <v>0</v>
      </c>
      <c r="D53">
        <v>5724</v>
      </c>
      <c r="G53">
        <f t="shared" si="0"/>
        <v>10</v>
      </c>
      <c r="H53">
        <v>0</v>
      </c>
      <c r="I53">
        <v>0</v>
      </c>
      <c r="J53">
        <v>0</v>
      </c>
    </row>
    <row r="54" spans="1:10" x14ac:dyDescent="0.2">
      <c r="A54">
        <v>11</v>
      </c>
      <c r="B54">
        <v>0</v>
      </c>
      <c r="C54">
        <v>0</v>
      </c>
      <c r="D54">
        <v>5724</v>
      </c>
      <c r="G54">
        <f t="shared" si="0"/>
        <v>11</v>
      </c>
      <c r="H54">
        <v>0</v>
      </c>
      <c r="I54">
        <v>0</v>
      </c>
      <c r="J54">
        <v>0</v>
      </c>
    </row>
    <row r="55" spans="1:10" x14ac:dyDescent="0.2">
      <c r="A55">
        <v>12</v>
      </c>
      <c r="B55">
        <v>0</v>
      </c>
      <c r="C55">
        <v>0</v>
      </c>
      <c r="D55">
        <v>5724</v>
      </c>
      <c r="G55">
        <f t="shared" si="0"/>
        <v>12</v>
      </c>
      <c r="H55">
        <v>0</v>
      </c>
      <c r="I55">
        <v>0</v>
      </c>
      <c r="J55">
        <v>0</v>
      </c>
    </row>
    <row r="56" spans="1:10" x14ac:dyDescent="0.2">
      <c r="A56">
        <v>13</v>
      </c>
      <c r="B56">
        <v>0</v>
      </c>
      <c r="C56">
        <v>0</v>
      </c>
      <c r="D56">
        <v>5724</v>
      </c>
      <c r="G56">
        <f t="shared" si="0"/>
        <v>13</v>
      </c>
      <c r="H56">
        <v>0</v>
      </c>
      <c r="I56">
        <v>0</v>
      </c>
      <c r="J56">
        <v>0</v>
      </c>
    </row>
    <row r="57" spans="1:10" x14ac:dyDescent="0.2">
      <c r="A57">
        <v>14</v>
      </c>
      <c r="B57">
        <v>0</v>
      </c>
      <c r="C57">
        <v>0</v>
      </c>
      <c r="D57">
        <v>5724</v>
      </c>
      <c r="G57">
        <f t="shared" si="0"/>
        <v>14</v>
      </c>
      <c r="H57">
        <v>0</v>
      </c>
      <c r="I57">
        <v>0</v>
      </c>
      <c r="J57">
        <v>0</v>
      </c>
    </row>
    <row r="58" spans="1:10" x14ac:dyDescent="0.2">
      <c r="A58">
        <v>15</v>
      </c>
      <c r="B58">
        <v>0</v>
      </c>
      <c r="C58">
        <v>0</v>
      </c>
      <c r="D58">
        <v>5724</v>
      </c>
      <c r="G58">
        <f t="shared" si="0"/>
        <v>15</v>
      </c>
      <c r="H58">
        <v>0</v>
      </c>
      <c r="I58">
        <v>0</v>
      </c>
      <c r="J58">
        <v>0</v>
      </c>
    </row>
    <row r="59" spans="1:10" x14ac:dyDescent="0.2">
      <c r="A59">
        <v>16</v>
      </c>
      <c r="B59">
        <v>0</v>
      </c>
      <c r="C59">
        <v>0</v>
      </c>
      <c r="D59">
        <v>5724</v>
      </c>
      <c r="G59">
        <f t="shared" si="0"/>
        <v>16</v>
      </c>
      <c r="H59">
        <v>0</v>
      </c>
      <c r="I59">
        <v>0</v>
      </c>
      <c r="J59">
        <v>0</v>
      </c>
    </row>
    <row r="60" spans="1:10" x14ac:dyDescent="0.2">
      <c r="A60">
        <v>17</v>
      </c>
      <c r="B60">
        <v>0</v>
      </c>
      <c r="C60">
        <v>0</v>
      </c>
      <c r="D60">
        <v>5724</v>
      </c>
      <c r="G60">
        <f t="shared" si="0"/>
        <v>17</v>
      </c>
      <c r="H60">
        <v>0</v>
      </c>
      <c r="I60">
        <v>0</v>
      </c>
      <c r="J60">
        <v>0</v>
      </c>
    </row>
    <row r="61" spans="1:10" x14ac:dyDescent="0.2">
      <c r="A61">
        <v>18</v>
      </c>
      <c r="B61">
        <v>0</v>
      </c>
      <c r="C61">
        <v>0</v>
      </c>
      <c r="D61">
        <v>5724</v>
      </c>
      <c r="G61">
        <f t="shared" si="0"/>
        <v>18</v>
      </c>
      <c r="H61">
        <v>0</v>
      </c>
      <c r="I61">
        <v>0</v>
      </c>
      <c r="J61">
        <v>0</v>
      </c>
    </row>
    <row r="62" spans="1:10" x14ac:dyDescent="0.2">
      <c r="A62">
        <v>19</v>
      </c>
      <c r="B62">
        <v>0</v>
      </c>
      <c r="C62">
        <v>0</v>
      </c>
      <c r="D62">
        <v>5724</v>
      </c>
      <c r="G62">
        <f t="shared" si="0"/>
        <v>19</v>
      </c>
      <c r="H62">
        <v>0</v>
      </c>
      <c r="I62">
        <v>0</v>
      </c>
      <c r="J62">
        <v>0</v>
      </c>
    </row>
    <row r="63" spans="1:10" x14ac:dyDescent="0.2">
      <c r="A63">
        <v>20</v>
      </c>
      <c r="B63">
        <v>0</v>
      </c>
      <c r="C63">
        <v>0</v>
      </c>
      <c r="D63">
        <v>5724</v>
      </c>
      <c r="G63">
        <f t="shared" si="0"/>
        <v>20</v>
      </c>
      <c r="H63">
        <v>0</v>
      </c>
      <c r="I63">
        <v>0</v>
      </c>
      <c r="J63">
        <v>0</v>
      </c>
    </row>
    <row r="64" spans="1:10" x14ac:dyDescent="0.2">
      <c r="A64">
        <v>21</v>
      </c>
      <c r="B64">
        <v>0</v>
      </c>
      <c r="C64">
        <v>0</v>
      </c>
      <c r="D64">
        <v>5724</v>
      </c>
      <c r="G64">
        <f t="shared" si="0"/>
        <v>21</v>
      </c>
      <c r="H64">
        <v>0</v>
      </c>
      <c r="I64">
        <v>0</v>
      </c>
      <c r="J64">
        <v>0</v>
      </c>
    </row>
    <row r="65" spans="1:11" x14ac:dyDescent="0.2">
      <c r="A65">
        <v>22</v>
      </c>
      <c r="B65">
        <v>0</v>
      </c>
      <c r="C65">
        <v>0</v>
      </c>
      <c r="D65">
        <v>5724</v>
      </c>
      <c r="G65">
        <f t="shared" si="0"/>
        <v>22</v>
      </c>
      <c r="H65">
        <v>0</v>
      </c>
      <c r="I65">
        <v>0</v>
      </c>
      <c r="J65">
        <v>0</v>
      </c>
    </row>
    <row r="66" spans="1:11" x14ac:dyDescent="0.2">
      <c r="A66">
        <v>23</v>
      </c>
      <c r="B66">
        <v>0</v>
      </c>
      <c r="C66">
        <v>0</v>
      </c>
      <c r="D66">
        <v>5724</v>
      </c>
      <c r="G66">
        <f t="shared" si="0"/>
        <v>23</v>
      </c>
      <c r="H66">
        <v>0</v>
      </c>
      <c r="I66">
        <v>0</v>
      </c>
      <c r="J66">
        <v>0</v>
      </c>
    </row>
    <row r="67" spans="1:11" x14ac:dyDescent="0.2">
      <c r="A67">
        <v>24</v>
      </c>
      <c r="B67">
        <v>0</v>
      </c>
      <c r="C67">
        <v>0</v>
      </c>
      <c r="D67">
        <v>5724</v>
      </c>
      <c r="G67">
        <f t="shared" si="0"/>
        <v>24</v>
      </c>
      <c r="H67">
        <v>0</v>
      </c>
      <c r="I67">
        <v>0</v>
      </c>
      <c r="J67">
        <v>0</v>
      </c>
    </row>
    <row r="68" spans="1:11" x14ac:dyDescent="0.2">
      <c r="A68">
        <v>25</v>
      </c>
      <c r="B68">
        <v>0</v>
      </c>
      <c r="C68">
        <v>0</v>
      </c>
      <c r="D68">
        <v>5724</v>
      </c>
      <c r="G68">
        <f t="shared" si="0"/>
        <v>25</v>
      </c>
      <c r="H68">
        <v>0</v>
      </c>
      <c r="I68">
        <v>0</v>
      </c>
      <c r="J68">
        <v>0</v>
      </c>
    </row>
    <row r="69" spans="1:11" x14ac:dyDescent="0.2">
      <c r="A69">
        <v>26</v>
      </c>
      <c r="B69">
        <v>0</v>
      </c>
      <c r="C69">
        <v>0</v>
      </c>
      <c r="D69">
        <v>5724</v>
      </c>
      <c r="G69">
        <f t="shared" si="0"/>
        <v>26</v>
      </c>
      <c r="H69">
        <v>0</v>
      </c>
      <c r="I69">
        <v>0</v>
      </c>
      <c r="J69">
        <v>0</v>
      </c>
    </row>
    <row r="70" spans="1:11" x14ac:dyDescent="0.2">
      <c r="A70">
        <v>27</v>
      </c>
      <c r="B70">
        <v>0</v>
      </c>
      <c r="C70">
        <v>0</v>
      </c>
      <c r="D70">
        <v>5724</v>
      </c>
      <c r="G70">
        <f t="shared" si="0"/>
        <v>27</v>
      </c>
      <c r="H70">
        <v>0</v>
      </c>
      <c r="I70">
        <v>0</v>
      </c>
      <c r="J70">
        <v>0</v>
      </c>
    </row>
    <row r="71" spans="1:11" x14ac:dyDescent="0.2">
      <c r="A71">
        <v>28</v>
      </c>
      <c r="B71">
        <v>0</v>
      </c>
      <c r="C71">
        <v>0</v>
      </c>
      <c r="D71">
        <v>5724</v>
      </c>
      <c r="G71">
        <f t="shared" si="0"/>
        <v>28</v>
      </c>
      <c r="H71">
        <v>0</v>
      </c>
      <c r="I71">
        <v>0</v>
      </c>
      <c r="J71">
        <v>0</v>
      </c>
    </row>
    <row r="72" spans="1:11" x14ac:dyDescent="0.2">
      <c r="A72">
        <v>29</v>
      </c>
      <c r="B72">
        <v>0</v>
      </c>
      <c r="C72">
        <v>0</v>
      </c>
      <c r="D72">
        <v>5724</v>
      </c>
      <c r="G72">
        <f t="shared" si="0"/>
        <v>29</v>
      </c>
      <c r="H72">
        <v>0</v>
      </c>
      <c r="I72">
        <v>0</v>
      </c>
      <c r="J72">
        <v>0</v>
      </c>
    </row>
    <row r="73" spans="1:11" x14ac:dyDescent="0.2">
      <c r="A73">
        <v>30</v>
      </c>
      <c r="B73">
        <v>0</v>
      </c>
      <c r="C73">
        <v>0</v>
      </c>
      <c r="D73">
        <v>5724</v>
      </c>
      <c r="G73">
        <f t="shared" si="0"/>
        <v>30</v>
      </c>
      <c r="H73">
        <v>0</v>
      </c>
      <c r="I73">
        <v>0</v>
      </c>
      <c r="J73">
        <v>0</v>
      </c>
    </row>
    <row r="74" spans="1:11" x14ac:dyDescent="0.2">
      <c r="A74">
        <v>31</v>
      </c>
      <c r="B74">
        <v>0</v>
      </c>
      <c r="C74">
        <v>0</v>
      </c>
      <c r="D74">
        <v>5724</v>
      </c>
      <c r="G74">
        <f t="shared" si="0"/>
        <v>31</v>
      </c>
      <c r="I74">
        <v>0</v>
      </c>
    </row>
    <row r="75" spans="1:11" x14ac:dyDescent="0.2">
      <c r="B75">
        <f>SUM(B44:B74)</f>
        <v>0</v>
      </c>
      <c r="C75">
        <f t="shared" ref="C75:D75" si="11">SUM(C44:C74)</f>
        <v>0</v>
      </c>
      <c r="D75">
        <f t="shared" si="11"/>
        <v>160272</v>
      </c>
      <c r="E75" s="8">
        <f>SUM(B75:D75)</f>
        <v>160272</v>
      </c>
      <c r="H75">
        <f>SUM(H44:H74)</f>
        <v>0</v>
      </c>
      <c r="I75">
        <f t="shared" ref="I75:J75" si="12">SUM(I44:I74)</f>
        <v>0</v>
      </c>
      <c r="J75">
        <f t="shared" si="12"/>
        <v>0</v>
      </c>
      <c r="K75">
        <f>SUM(H75:J75)</f>
        <v>0</v>
      </c>
    </row>
  </sheetData>
  <mergeCells count="2">
    <mergeCell ref="A1:B1"/>
    <mergeCell ref="A2:B2"/>
  </mergeCells>
  <pageMargins left="0.7" right="0.7" top="0.75" bottom="0.75" header="0.3" footer="0.3"/>
  <pageSetup orientation="portrait" r:id="rId1"/>
  <legacy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O31:Q32"/>
  <sheetViews>
    <sheetView workbookViewId="0">
      <selection activeCell="T16" sqref="T16"/>
    </sheetView>
  </sheetViews>
  <sheetFormatPr defaultRowHeight="12.75" x14ac:dyDescent="0.2"/>
  <cols>
    <col min="1" max="14" width="8.28515625" customWidth="1"/>
    <col min="15" max="17" width="2.85546875" style="114" customWidth="1"/>
  </cols>
  <sheetData>
    <row r="31" spans="15:17" ht="104.25" customHeight="1" x14ac:dyDescent="0.2">
      <c r="O31" s="126" t="str">
        <f>'Exhibit 1.1'!O31</f>
        <v>DEU Variance Exhibit</v>
      </c>
      <c r="P31" s="126" t="str">
        <f>'Exhibit 1.1'!P31</f>
        <v>Docket No. 16-057-08</v>
      </c>
      <c r="Q31" s="126" t="str">
        <f>'Exhibit 1.1'!Q31</f>
        <v>Dominion Energy Utah</v>
      </c>
    </row>
    <row r="32" spans="15:17" ht="26.25" customHeight="1" x14ac:dyDescent="0.2">
      <c r="O32" s="112">
        <v>2.5</v>
      </c>
      <c r="P32" s="110"/>
      <c r="Q32" s="110"/>
    </row>
  </sheetData>
  <printOptions horizontalCentered="1" verticalCentered="1"/>
  <pageMargins left="0.7" right="0.7" top="0.75" bottom="0.75" header="0.3" footer="0.3"/>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O1:Q32"/>
  <sheetViews>
    <sheetView topLeftCell="A7" workbookViewId="0">
      <selection activeCell="O31" sqref="O31"/>
    </sheetView>
  </sheetViews>
  <sheetFormatPr defaultRowHeight="12.75" x14ac:dyDescent="0.2"/>
  <cols>
    <col min="1" max="14" width="8.28515625" customWidth="1"/>
    <col min="15" max="17" width="2.5703125" customWidth="1"/>
  </cols>
  <sheetData>
    <row r="1" ht="15.75" customHeight="1" x14ac:dyDescent="0.2"/>
    <row r="21" spans="15:17" ht="3.75" customHeight="1" x14ac:dyDescent="0.2"/>
    <row r="31" spans="15:17" ht="110.25" customHeight="1" x14ac:dyDescent="0.2">
      <c r="O31" s="137" t="s">
        <v>297</v>
      </c>
      <c r="P31" s="137" t="str">
        <f>'Ex 1 HDD'!I1</f>
        <v>Docket No. 16-057-08</v>
      </c>
      <c r="Q31" s="137" t="s">
        <v>296</v>
      </c>
    </row>
    <row r="32" spans="15:17" ht="22.5" customHeight="1" x14ac:dyDescent="0.2">
      <c r="O32" s="112">
        <v>1.3</v>
      </c>
    </row>
  </sheetData>
  <printOptions horizontalCentered="1" verticalCentered="1"/>
  <pageMargins left="0.7" right="0.7" top="0.75" bottom="0.75" header="0.3" footer="0.3"/>
  <pageSetup orientation="landscape"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O31:Q32"/>
  <sheetViews>
    <sheetView workbookViewId="0">
      <selection activeCell="T16" sqref="T16"/>
    </sheetView>
  </sheetViews>
  <sheetFormatPr defaultRowHeight="12.75" x14ac:dyDescent="0.2"/>
  <cols>
    <col min="1" max="14" width="8.28515625" customWidth="1"/>
    <col min="15" max="17" width="2.5703125" customWidth="1"/>
  </cols>
  <sheetData>
    <row r="31" spans="15:17" ht="105.75" customHeight="1" x14ac:dyDescent="0.2">
      <c r="O31" s="110" t="str">
        <f>'Exhibit 1.1'!O31</f>
        <v>DEU Variance Exhibit</v>
      </c>
      <c r="P31" s="110" t="str">
        <f>'Exhibit 1.1'!P31</f>
        <v>Docket No. 16-057-08</v>
      </c>
      <c r="Q31" s="110" t="str">
        <f>'Exhibit 1.1'!Q31</f>
        <v>Dominion Energy Utah</v>
      </c>
    </row>
    <row r="32" spans="15:17" ht="23.25" customHeight="1" x14ac:dyDescent="0.2">
      <c r="O32" s="112">
        <v>2.6</v>
      </c>
      <c r="P32" s="109"/>
      <c r="Q32" s="109"/>
    </row>
  </sheetData>
  <printOptions horizontalCentered="1" verticalCentered="1"/>
  <pageMargins left="0.7" right="0.7" top="0.75" bottom="0.75" header="0.3" footer="0.3"/>
  <pageSetup orientation="landscape"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8"/>
  <sheetViews>
    <sheetView workbookViewId="0">
      <selection activeCell="A7" sqref="A7"/>
    </sheetView>
  </sheetViews>
  <sheetFormatPr defaultRowHeight="12.75" x14ac:dyDescent="0.2"/>
  <cols>
    <col min="1" max="1" width="12.5703125" bestFit="1" customWidth="1"/>
    <col min="8" max="8" width="10.42578125" customWidth="1"/>
  </cols>
  <sheetData>
    <row r="2" spans="1:12" x14ac:dyDescent="0.2">
      <c r="J2">
        <v>1082</v>
      </c>
      <c r="K2">
        <v>1106</v>
      </c>
    </row>
    <row r="3" spans="1:12" x14ac:dyDescent="0.2">
      <c r="I3" t="s">
        <v>25</v>
      </c>
      <c r="J3" t="s">
        <v>54</v>
      </c>
      <c r="K3" t="s">
        <v>55</v>
      </c>
      <c r="L3" t="s">
        <v>12</v>
      </c>
    </row>
    <row r="4" spans="1:12" x14ac:dyDescent="0.2">
      <c r="A4" t="str">
        <f>'Ex 1 HDD'!A7</f>
        <v>Month/Year</v>
      </c>
      <c r="B4" s="94" t="s">
        <v>1</v>
      </c>
      <c r="C4" s="94" t="s">
        <v>2</v>
      </c>
      <c r="D4" t="s">
        <v>191</v>
      </c>
      <c r="E4" t="s">
        <v>192</v>
      </c>
      <c r="H4" s="49">
        <v>42125</v>
      </c>
      <c r="I4" s="54"/>
      <c r="J4" s="54"/>
      <c r="K4" s="54"/>
      <c r="L4" s="54">
        <v>0</v>
      </c>
    </row>
    <row r="5" spans="1:12" x14ac:dyDescent="0.2">
      <c r="A5" s="49">
        <f>'Ex 1 HDD'!A8</f>
        <v>42522</v>
      </c>
      <c r="B5">
        <v>0</v>
      </c>
      <c r="C5" s="47">
        <f>L5</f>
        <v>0</v>
      </c>
      <c r="D5">
        <f>DAY(EOMONTH(A5,0))</f>
        <v>30</v>
      </c>
      <c r="E5" s="54">
        <f>C5/D5</f>
        <v>0</v>
      </c>
      <c r="H5" s="49">
        <f>A5</f>
        <v>42522</v>
      </c>
      <c r="I5" s="54">
        <f>L4</f>
        <v>0</v>
      </c>
      <c r="J5" s="210">
        <v>0</v>
      </c>
      <c r="K5" s="211">
        <v>0</v>
      </c>
      <c r="L5" s="54">
        <f t="shared" ref="L5:L16" si="0">I5+J5-K5</f>
        <v>0</v>
      </c>
    </row>
    <row r="6" spans="1:12" x14ac:dyDescent="0.2">
      <c r="A6" s="49">
        <f>'Ex 1 HDD'!A9</f>
        <v>42552</v>
      </c>
      <c r="B6">
        <v>0</v>
      </c>
      <c r="C6" s="47">
        <f t="shared" ref="C6:C16" si="1">L6</f>
        <v>620</v>
      </c>
      <c r="D6">
        <f t="shared" ref="D6:D16" si="2">DAY(EOMONTH(A6,0))</f>
        <v>31</v>
      </c>
      <c r="E6" s="54">
        <f t="shared" ref="E6:E16" si="3">C6/D6</f>
        <v>20</v>
      </c>
      <c r="H6" s="49">
        <f t="shared" ref="H6:H16" si="4">A6</f>
        <v>42552</v>
      </c>
      <c r="I6" s="54">
        <f>L5</f>
        <v>0</v>
      </c>
      <c r="J6" s="212">
        <v>620</v>
      </c>
      <c r="K6" s="213">
        <v>0</v>
      </c>
      <c r="L6" s="54">
        <f t="shared" si="0"/>
        <v>620</v>
      </c>
    </row>
    <row r="7" spans="1:12" x14ac:dyDescent="0.2">
      <c r="A7" s="49">
        <f>'Ex 1 HDD'!A10</f>
        <v>42583</v>
      </c>
      <c r="B7">
        <v>0</v>
      </c>
      <c r="C7" s="47">
        <f t="shared" si="1"/>
        <v>1240</v>
      </c>
      <c r="D7">
        <f t="shared" si="2"/>
        <v>31</v>
      </c>
      <c r="E7" s="54">
        <f t="shared" si="3"/>
        <v>40</v>
      </c>
      <c r="H7" s="49">
        <f t="shared" si="4"/>
        <v>42583</v>
      </c>
      <c r="I7" s="54">
        <f t="shared" ref="I7:I16" si="5">L6</f>
        <v>620</v>
      </c>
      <c r="J7" s="212">
        <v>620</v>
      </c>
      <c r="K7" s="213">
        <v>0</v>
      </c>
      <c r="L7" s="54">
        <f t="shared" si="0"/>
        <v>1240</v>
      </c>
    </row>
    <row r="8" spans="1:12" x14ac:dyDescent="0.2">
      <c r="A8" s="49">
        <f>'Ex 1 HDD'!A11</f>
        <v>42614</v>
      </c>
      <c r="C8" s="47">
        <f t="shared" si="1"/>
        <v>1840</v>
      </c>
      <c r="D8">
        <f t="shared" si="2"/>
        <v>30</v>
      </c>
      <c r="E8" s="54">
        <f t="shared" si="3"/>
        <v>61.333333333333336</v>
      </c>
      <c r="H8" s="49">
        <f t="shared" si="4"/>
        <v>42614</v>
      </c>
      <c r="I8" s="54">
        <f t="shared" si="5"/>
        <v>1240</v>
      </c>
      <c r="J8" s="212">
        <v>600</v>
      </c>
      <c r="K8" s="213">
        <v>0</v>
      </c>
      <c r="L8" s="54">
        <f t="shared" si="0"/>
        <v>1840</v>
      </c>
    </row>
    <row r="9" spans="1:12" x14ac:dyDescent="0.2">
      <c r="A9" s="49">
        <f>'Ex 1 HDD'!A12</f>
        <v>42644</v>
      </c>
      <c r="C9" s="47">
        <f t="shared" si="1"/>
        <v>2460</v>
      </c>
      <c r="D9">
        <f t="shared" si="2"/>
        <v>31</v>
      </c>
      <c r="E9" s="54">
        <f t="shared" si="3"/>
        <v>79.354838709677423</v>
      </c>
      <c r="H9" s="49">
        <f t="shared" si="4"/>
        <v>42644</v>
      </c>
      <c r="I9" s="54">
        <f t="shared" si="5"/>
        <v>1840</v>
      </c>
      <c r="J9" s="212">
        <v>620</v>
      </c>
      <c r="K9" s="213">
        <v>0</v>
      </c>
      <c r="L9" s="54">
        <f t="shared" si="0"/>
        <v>2460</v>
      </c>
    </row>
    <row r="10" spans="1:12" x14ac:dyDescent="0.2">
      <c r="A10" s="49">
        <f>'Ex 1 HDD'!A13</f>
        <v>42675</v>
      </c>
      <c r="C10" s="47">
        <f t="shared" si="1"/>
        <v>2460</v>
      </c>
      <c r="D10">
        <f t="shared" si="2"/>
        <v>30</v>
      </c>
      <c r="E10" s="54">
        <f t="shared" si="3"/>
        <v>82</v>
      </c>
      <c r="H10" s="49">
        <f t="shared" si="4"/>
        <v>42675</v>
      </c>
      <c r="I10" s="54">
        <f t="shared" si="5"/>
        <v>2460</v>
      </c>
      <c r="J10" s="212">
        <v>0</v>
      </c>
      <c r="K10" s="213">
        <v>0</v>
      </c>
      <c r="L10" s="54">
        <f t="shared" si="0"/>
        <v>2460</v>
      </c>
    </row>
    <row r="11" spans="1:12" x14ac:dyDescent="0.2">
      <c r="A11" s="49">
        <f>'Ex 1 HDD'!A14</f>
        <v>42705</v>
      </c>
      <c r="C11" s="47">
        <f t="shared" si="1"/>
        <v>1945.4</v>
      </c>
      <c r="D11">
        <f t="shared" si="2"/>
        <v>31</v>
      </c>
      <c r="E11" s="54">
        <f t="shared" si="3"/>
        <v>62.754838709677422</v>
      </c>
      <c r="H11" s="49">
        <f t="shared" si="4"/>
        <v>42705</v>
      </c>
      <c r="I11" s="54">
        <f t="shared" si="5"/>
        <v>2460</v>
      </c>
      <c r="J11" s="212">
        <v>0</v>
      </c>
      <c r="K11" s="213">
        <v>514.6</v>
      </c>
      <c r="L11" s="54">
        <f t="shared" si="0"/>
        <v>1945.4</v>
      </c>
    </row>
    <row r="12" spans="1:12" x14ac:dyDescent="0.2">
      <c r="A12" s="49">
        <f>'Ex 1 HDD'!A15</f>
        <v>42736</v>
      </c>
      <c r="C12" s="47">
        <f t="shared" si="1"/>
        <v>1430.8000000000002</v>
      </c>
      <c r="D12">
        <f t="shared" si="2"/>
        <v>31</v>
      </c>
      <c r="E12" s="54">
        <f t="shared" si="3"/>
        <v>46.154838709677428</v>
      </c>
      <c r="H12" s="49">
        <f t="shared" si="4"/>
        <v>42736</v>
      </c>
      <c r="I12" s="54">
        <f t="shared" si="5"/>
        <v>1945.4</v>
      </c>
      <c r="J12" s="212">
        <v>0</v>
      </c>
      <c r="K12" s="213">
        <v>514.6</v>
      </c>
      <c r="L12" s="54">
        <f t="shared" si="0"/>
        <v>1430.8000000000002</v>
      </c>
    </row>
    <row r="13" spans="1:12" x14ac:dyDescent="0.2">
      <c r="A13" s="49">
        <f>'Ex 1 HDD'!A16</f>
        <v>42767</v>
      </c>
      <c r="C13" s="47">
        <f t="shared" si="1"/>
        <v>949.4000000000002</v>
      </c>
      <c r="D13">
        <f t="shared" si="2"/>
        <v>28</v>
      </c>
      <c r="E13" s="54">
        <f t="shared" si="3"/>
        <v>33.907142857142865</v>
      </c>
      <c r="H13" s="49">
        <f t="shared" si="4"/>
        <v>42767</v>
      </c>
      <c r="I13" s="54">
        <f t="shared" si="5"/>
        <v>1430.8000000000002</v>
      </c>
      <c r="J13" s="212">
        <v>0</v>
      </c>
      <c r="K13" s="213">
        <v>481.4</v>
      </c>
      <c r="L13" s="54">
        <f t="shared" si="0"/>
        <v>949.4000000000002</v>
      </c>
    </row>
    <row r="14" spans="1:12" x14ac:dyDescent="0.2">
      <c r="A14" s="49">
        <f>'Ex 1 HDD'!A17</f>
        <v>42795</v>
      </c>
      <c r="C14" s="47">
        <f t="shared" si="1"/>
        <v>960.50000000000023</v>
      </c>
      <c r="D14">
        <f t="shared" si="2"/>
        <v>31</v>
      </c>
      <c r="E14" s="54">
        <f t="shared" si="3"/>
        <v>30.983870967741943</v>
      </c>
      <c r="H14" s="49">
        <f t="shared" si="4"/>
        <v>42795</v>
      </c>
      <c r="I14" s="54">
        <f t="shared" si="5"/>
        <v>949.4000000000002</v>
      </c>
      <c r="J14" s="212">
        <v>11.1</v>
      </c>
      <c r="K14" s="213">
        <v>0</v>
      </c>
      <c r="L14" s="54">
        <f t="shared" si="0"/>
        <v>960.50000000000023</v>
      </c>
    </row>
    <row r="15" spans="1:12" x14ac:dyDescent="0.2">
      <c r="A15" s="49">
        <f>'Ex 1 HDD'!A18</f>
        <v>42826</v>
      </c>
      <c r="C15" s="47">
        <f t="shared" si="1"/>
        <v>1310.0000000000002</v>
      </c>
      <c r="D15">
        <f t="shared" si="2"/>
        <v>30</v>
      </c>
      <c r="E15" s="54">
        <f t="shared" si="3"/>
        <v>43.666666666666671</v>
      </c>
      <c r="H15" s="49">
        <f t="shared" si="4"/>
        <v>42826</v>
      </c>
      <c r="I15" s="54">
        <f t="shared" si="5"/>
        <v>960.50000000000023</v>
      </c>
      <c r="J15" s="212">
        <v>349.5</v>
      </c>
      <c r="K15" s="213">
        <v>0</v>
      </c>
      <c r="L15" s="54">
        <f t="shared" si="0"/>
        <v>1310.0000000000002</v>
      </c>
    </row>
    <row r="16" spans="1:12" x14ac:dyDescent="0.2">
      <c r="A16" s="49">
        <f>'Ex 1 HDD'!A19</f>
        <v>42856</v>
      </c>
      <c r="C16" s="47">
        <f t="shared" si="1"/>
        <v>1671.2000000000003</v>
      </c>
      <c r="D16">
        <f t="shared" si="2"/>
        <v>31</v>
      </c>
      <c r="E16" s="54">
        <f t="shared" si="3"/>
        <v>53.90967741935485</v>
      </c>
      <c r="H16" s="49">
        <f t="shared" si="4"/>
        <v>42856</v>
      </c>
      <c r="I16" s="54">
        <f t="shared" si="5"/>
        <v>1310.0000000000002</v>
      </c>
      <c r="J16" s="214">
        <v>361.2</v>
      </c>
      <c r="K16" s="215">
        <v>0</v>
      </c>
      <c r="L16" s="54">
        <f t="shared" si="0"/>
        <v>1671.2000000000003</v>
      </c>
    </row>
    <row r="17" spans="9:12" x14ac:dyDescent="0.2">
      <c r="I17" s="54"/>
      <c r="J17" s="54"/>
      <c r="K17" s="54"/>
      <c r="L17" s="54"/>
    </row>
    <row r="18" spans="9:12" x14ac:dyDescent="0.2">
      <c r="I18" s="54"/>
      <c r="J18" s="54">
        <f>SUM(J5:J17)</f>
        <v>3181.7999999999997</v>
      </c>
      <c r="K18" s="54">
        <f>SUM(J5:J16)</f>
        <v>3181.7999999999997</v>
      </c>
      <c r="L18" s="54">
        <f>SUM(K5:K16)</f>
        <v>1510.6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D76"/>
  <sheetViews>
    <sheetView zoomScale="90" zoomScaleNormal="90" workbookViewId="0">
      <selection activeCell="M24" sqref="M24"/>
    </sheetView>
  </sheetViews>
  <sheetFormatPr defaultRowHeight="12.75" x14ac:dyDescent="0.2"/>
  <cols>
    <col min="1" max="4" width="10.42578125" customWidth="1"/>
    <col min="5" max="5" width="13.5703125" customWidth="1"/>
    <col min="6" max="6" width="14.140625" customWidth="1"/>
    <col min="7" max="7" width="14.140625" style="13" customWidth="1"/>
    <col min="8" max="10" width="14.140625" customWidth="1"/>
    <col min="11" max="16" width="11.85546875" customWidth="1"/>
    <col min="17" max="17" width="11.85546875" style="8" customWidth="1"/>
    <col min="18" max="21" width="10.7109375" style="8" customWidth="1"/>
    <col min="22" max="22" width="9.140625" style="8"/>
    <col min="23" max="23" width="12.5703125" style="8" customWidth="1"/>
    <col min="24" max="24" width="12.5703125" customWidth="1"/>
  </cols>
  <sheetData>
    <row r="1" spans="1:30" x14ac:dyDescent="0.2">
      <c r="A1" s="431" t="s">
        <v>7</v>
      </c>
      <c r="B1" s="431"/>
      <c r="C1" s="431"/>
      <c r="D1" s="431"/>
      <c r="E1" s="431"/>
      <c r="F1" s="431"/>
      <c r="G1" s="431"/>
      <c r="H1" s="431"/>
      <c r="I1" s="431"/>
      <c r="J1" s="124"/>
      <c r="K1" s="115"/>
      <c r="X1" s="8"/>
      <c r="Y1" s="8"/>
      <c r="Z1" s="8"/>
      <c r="AA1" s="8"/>
      <c r="AB1" s="8"/>
      <c r="AC1" s="8"/>
      <c r="AD1" s="8"/>
    </row>
    <row r="2" spans="1:30" x14ac:dyDescent="0.2">
      <c r="A2" s="431" t="s">
        <v>228</v>
      </c>
      <c r="B2" s="431"/>
      <c r="C2" s="431"/>
      <c r="D2" s="431"/>
      <c r="E2" s="431"/>
      <c r="F2" s="226"/>
      <c r="G2" s="226"/>
      <c r="H2" s="226"/>
      <c r="I2" s="226"/>
      <c r="J2" s="226"/>
      <c r="K2" s="226"/>
      <c r="X2" s="8"/>
      <c r="Y2" s="8"/>
      <c r="Z2" s="8"/>
      <c r="AA2" s="8"/>
      <c r="AB2" s="8"/>
      <c r="AC2" s="8"/>
      <c r="AD2" s="8"/>
    </row>
    <row r="3" spans="1:30" x14ac:dyDescent="0.2">
      <c r="A3" s="431" t="s">
        <v>229</v>
      </c>
      <c r="B3" s="431"/>
      <c r="C3" s="431"/>
      <c r="D3" s="431"/>
      <c r="E3" s="431"/>
      <c r="F3" s="431"/>
      <c r="G3" s="226"/>
      <c r="H3" s="226"/>
      <c r="I3" s="226"/>
      <c r="J3" s="226"/>
      <c r="K3" s="226"/>
      <c r="X3" s="8"/>
      <c r="Y3" s="8"/>
      <c r="Z3" s="8"/>
      <c r="AA3" s="8"/>
      <c r="AB3" s="8"/>
      <c r="AC3" s="8"/>
      <c r="AD3" s="8"/>
    </row>
    <row r="4" spans="1:30" x14ac:dyDescent="0.2">
      <c r="A4" s="431" t="s">
        <v>188</v>
      </c>
      <c r="B4" s="431"/>
      <c r="C4" s="431"/>
      <c r="D4" s="431"/>
      <c r="E4" s="431"/>
      <c r="F4" s="431"/>
      <c r="G4" s="431"/>
      <c r="H4" s="431"/>
      <c r="I4" s="431"/>
      <c r="J4" s="124"/>
      <c r="K4" s="115"/>
      <c r="M4" s="8"/>
      <c r="N4" s="8"/>
      <c r="O4" s="48"/>
      <c r="P4" s="48"/>
      <c r="X4" s="8"/>
      <c r="Y4" s="8"/>
      <c r="Z4" s="8"/>
      <c r="AA4" s="8"/>
      <c r="AB4" s="8"/>
      <c r="AC4" s="8"/>
      <c r="AD4" s="8"/>
    </row>
    <row r="5" spans="1:30" x14ac:dyDescent="0.2">
      <c r="A5" s="431" t="s">
        <v>63</v>
      </c>
      <c r="B5" s="431"/>
      <c r="C5" s="431"/>
      <c r="D5" s="431"/>
      <c r="E5" s="431"/>
      <c r="F5" s="431"/>
      <c r="G5" s="431"/>
      <c r="H5" s="431"/>
      <c r="I5" s="431"/>
      <c r="J5" s="124"/>
      <c r="K5" s="115"/>
      <c r="M5">
        <v>1082</v>
      </c>
      <c r="N5" s="19">
        <v>1106</v>
      </c>
      <c r="O5" s="19"/>
      <c r="X5" s="8"/>
      <c r="Y5" s="8"/>
      <c r="Z5" s="8"/>
      <c r="AA5" s="8"/>
      <c r="AB5" s="8"/>
      <c r="AC5" s="8"/>
    </row>
    <row r="6" spans="1:30" x14ac:dyDescent="0.2">
      <c r="K6" s="2" t="s">
        <v>0</v>
      </c>
      <c r="L6" s="19" t="s">
        <v>25</v>
      </c>
      <c r="M6" s="19" t="s">
        <v>54</v>
      </c>
      <c r="N6" s="19" t="s">
        <v>55</v>
      </c>
      <c r="O6" s="13" t="s">
        <v>12</v>
      </c>
      <c r="X6" s="8"/>
      <c r="Y6" s="8"/>
      <c r="Z6" s="8"/>
      <c r="AA6" s="8"/>
      <c r="AB6" s="8"/>
      <c r="AC6" s="8"/>
    </row>
    <row r="7" spans="1:30" x14ac:dyDescent="0.2">
      <c r="A7" s="2" t="s">
        <v>0</v>
      </c>
      <c r="B7" s="2" t="s">
        <v>1</v>
      </c>
      <c r="C7" s="2" t="s">
        <v>258</v>
      </c>
      <c r="E7" s="2" t="s">
        <v>1</v>
      </c>
      <c r="F7" s="2" t="s">
        <v>62</v>
      </c>
      <c r="G7"/>
      <c r="H7" s="5" t="s">
        <v>1</v>
      </c>
      <c r="I7" s="5" t="s">
        <v>258</v>
      </c>
      <c r="J7" s="4"/>
      <c r="K7" s="49">
        <v>42491</v>
      </c>
      <c r="L7" s="47"/>
      <c r="O7" s="151">
        <v>1498</v>
      </c>
      <c r="V7" s="79"/>
      <c r="X7" s="8"/>
      <c r="Y7" s="8"/>
      <c r="Z7" s="8"/>
      <c r="AA7" s="8"/>
      <c r="AB7" s="8"/>
    </row>
    <row r="8" spans="1:30" x14ac:dyDescent="0.2">
      <c r="A8" s="1">
        <f>'Ex 1 HDD'!A8</f>
        <v>42522</v>
      </c>
      <c r="B8" s="3">
        <f>F8</f>
        <v>4058.0940000000001</v>
      </c>
      <c r="C8" s="44">
        <f>O8</f>
        <v>4078</v>
      </c>
      <c r="D8" s="47">
        <f>B8-C8</f>
        <v>-19.905999999999949</v>
      </c>
      <c r="E8" s="80">
        <v>4058094</v>
      </c>
      <c r="F8" s="3">
        <f>E8/1000</f>
        <v>4058.0940000000001</v>
      </c>
      <c r="G8"/>
      <c r="H8" s="73">
        <f>F8</f>
        <v>4058.0940000000001</v>
      </c>
      <c r="I8" s="73">
        <f>C8</f>
        <v>4078</v>
      </c>
      <c r="J8" s="73"/>
      <c r="K8" s="1">
        <f>A8</f>
        <v>42522</v>
      </c>
      <c r="L8" s="3">
        <f>O7</f>
        <v>1498</v>
      </c>
      <c r="M8" s="120">
        <v>2580</v>
      </c>
      <c r="N8" s="91">
        <v>0</v>
      </c>
      <c r="O8" s="151">
        <f t="shared" ref="O8:O19" si="0">L8+M8-N8</f>
        <v>4078</v>
      </c>
      <c r="Q8" s="100">
        <v>123.428</v>
      </c>
      <c r="R8" s="100"/>
      <c r="S8" s="100">
        <f>M8/30</f>
        <v>86</v>
      </c>
      <c r="T8" s="100"/>
      <c r="U8" s="208">
        <f>(M8-N8)/30</f>
        <v>86</v>
      </c>
      <c r="V8" s="35"/>
      <c r="W8" s="43"/>
      <c r="X8" s="43"/>
      <c r="Y8" s="8"/>
      <c r="Z8" s="8"/>
      <c r="AA8" s="65"/>
      <c r="AB8" s="8"/>
    </row>
    <row r="9" spans="1:30" x14ac:dyDescent="0.2">
      <c r="A9" s="1">
        <f>'Ex 1 HDD'!A9</f>
        <v>42552</v>
      </c>
      <c r="B9" s="73">
        <f t="shared" ref="B9:B17" si="1">F9</f>
        <v>6876.4610000000002</v>
      </c>
      <c r="C9" s="44">
        <f t="shared" ref="C9:C14" si="2">O9</f>
        <v>6744</v>
      </c>
      <c r="D9" s="47">
        <f>B9-C9</f>
        <v>132.46100000000024</v>
      </c>
      <c r="E9" s="80">
        <v>6876461</v>
      </c>
      <c r="F9" s="95">
        <f t="shared" ref="F9:F19" si="3">E9/1000</f>
        <v>6876.4610000000002</v>
      </c>
      <c r="G9"/>
      <c r="H9" s="73">
        <f>H8+F9</f>
        <v>10934.555</v>
      </c>
      <c r="I9" s="73">
        <f t="shared" ref="I9:I19" si="4">C9+I8</f>
        <v>10822</v>
      </c>
      <c r="J9" s="73"/>
      <c r="K9" s="1">
        <f t="shared" ref="K9:K19" si="5">A9</f>
        <v>42552</v>
      </c>
      <c r="L9" s="3">
        <f>O8</f>
        <v>4078</v>
      </c>
      <c r="M9" s="121">
        <v>2666</v>
      </c>
      <c r="N9" s="92">
        <v>0</v>
      </c>
      <c r="O9" s="151">
        <f t="shared" si="0"/>
        <v>6744</v>
      </c>
      <c r="Q9" s="100">
        <v>66.779499999999999</v>
      </c>
      <c r="R9" s="100"/>
      <c r="S9" s="100">
        <f>M9/31</f>
        <v>86</v>
      </c>
      <c r="T9" s="100"/>
      <c r="U9" s="208">
        <f>(M9-N9)/31</f>
        <v>86</v>
      </c>
      <c r="V9" s="44"/>
      <c r="W9" s="43"/>
      <c r="X9" s="43"/>
      <c r="Y9" s="8"/>
      <c r="Z9" s="8"/>
      <c r="AA9" s="65"/>
      <c r="AB9" s="8"/>
    </row>
    <row r="10" spans="1:30" x14ac:dyDescent="0.2">
      <c r="A10" s="1">
        <f>'Ex 1 HDD'!A10</f>
        <v>42583</v>
      </c>
      <c r="B10" s="73">
        <f t="shared" si="1"/>
        <v>9487.6929999999993</v>
      </c>
      <c r="C10" s="44">
        <f t="shared" si="2"/>
        <v>9410</v>
      </c>
      <c r="D10" s="47">
        <f>B10-C10</f>
        <v>77.692999999999302</v>
      </c>
      <c r="E10" s="80">
        <v>9487693</v>
      </c>
      <c r="F10" s="95">
        <f t="shared" si="3"/>
        <v>9487.6929999999993</v>
      </c>
      <c r="G10"/>
      <c r="H10" s="73">
        <f t="shared" ref="H10:H19" si="6">H9+F10</f>
        <v>20422.248</v>
      </c>
      <c r="I10" s="73">
        <f t="shared" si="4"/>
        <v>20232</v>
      </c>
      <c r="J10" s="73"/>
      <c r="K10" s="1">
        <f t="shared" si="5"/>
        <v>42583</v>
      </c>
      <c r="L10" s="3">
        <f t="shared" ref="L10:L19" si="7">O9</f>
        <v>6744</v>
      </c>
      <c r="M10" s="121">
        <v>2666</v>
      </c>
      <c r="N10" s="92">
        <v>0</v>
      </c>
      <c r="O10" s="151">
        <f t="shared" si="0"/>
        <v>9410</v>
      </c>
      <c r="Q10" s="100">
        <v>19.965599999999998</v>
      </c>
      <c r="R10" s="100"/>
      <c r="S10" s="100">
        <f t="shared" ref="S10:S19" si="8">M10/31</f>
        <v>86</v>
      </c>
      <c r="T10" s="100"/>
      <c r="U10" s="208">
        <f t="shared" ref="U10:U19" si="9">(M10-N10)/31</f>
        <v>86</v>
      </c>
      <c r="V10" s="44"/>
      <c r="W10" s="43"/>
      <c r="X10" s="43"/>
      <c r="Y10" s="8"/>
      <c r="Z10" s="8"/>
      <c r="AA10" s="65"/>
      <c r="AB10" s="8"/>
    </row>
    <row r="11" spans="1:30" x14ac:dyDescent="0.2">
      <c r="A11" s="1">
        <f>'Ex 1 HDD'!A11</f>
        <v>42614</v>
      </c>
      <c r="B11" s="73">
        <f t="shared" si="1"/>
        <v>12102.064</v>
      </c>
      <c r="C11" s="44">
        <f t="shared" si="2"/>
        <v>11990</v>
      </c>
      <c r="D11" s="47">
        <f>B11-C11</f>
        <v>112.06400000000031</v>
      </c>
      <c r="E11" s="80">
        <v>12102064</v>
      </c>
      <c r="F11" s="95">
        <f t="shared" si="3"/>
        <v>12102.064</v>
      </c>
      <c r="G11"/>
      <c r="H11" s="73">
        <f t="shared" si="6"/>
        <v>32524.311999999998</v>
      </c>
      <c r="I11" s="73">
        <f t="shared" si="4"/>
        <v>32222</v>
      </c>
      <c r="J11" s="73"/>
      <c r="K11" s="1">
        <f t="shared" si="5"/>
        <v>42614</v>
      </c>
      <c r="L11" s="3">
        <f t="shared" si="7"/>
        <v>9410</v>
      </c>
      <c r="M11" s="121">
        <v>2580</v>
      </c>
      <c r="N11" s="92">
        <v>0</v>
      </c>
      <c r="O11" s="151">
        <f t="shared" si="0"/>
        <v>11990</v>
      </c>
      <c r="Q11" s="100">
        <v>0</v>
      </c>
      <c r="R11" s="100"/>
      <c r="S11" s="100">
        <f t="shared" si="8"/>
        <v>83.225806451612897</v>
      </c>
      <c r="T11" s="100"/>
      <c r="U11" s="208">
        <f t="shared" si="9"/>
        <v>83.225806451612897</v>
      </c>
      <c r="V11" s="44"/>
      <c r="W11" s="43"/>
      <c r="X11" s="43"/>
      <c r="Y11" s="8"/>
      <c r="Z11" s="8"/>
      <c r="AA11" s="65"/>
      <c r="AB11" s="8"/>
    </row>
    <row r="12" spans="1:30" x14ac:dyDescent="0.2">
      <c r="A12" s="1">
        <f>'Ex 1 HDD'!A12</f>
        <v>42644</v>
      </c>
      <c r="B12" s="73">
        <f t="shared" si="1"/>
        <v>12982.744000000001</v>
      </c>
      <c r="C12" s="44">
        <f t="shared" si="2"/>
        <v>13419</v>
      </c>
      <c r="D12" s="47">
        <f t="shared" ref="D12:D15" si="10">B12-C12</f>
        <v>-436.2559999999994</v>
      </c>
      <c r="E12" s="80">
        <v>12982744</v>
      </c>
      <c r="F12" s="95">
        <f t="shared" si="3"/>
        <v>12982.744000000001</v>
      </c>
      <c r="G12"/>
      <c r="H12" s="73">
        <f t="shared" si="6"/>
        <v>45507.055999999997</v>
      </c>
      <c r="I12" s="73">
        <f t="shared" si="4"/>
        <v>45641</v>
      </c>
      <c r="J12" s="73"/>
      <c r="K12" s="1">
        <f t="shared" si="5"/>
        <v>42644</v>
      </c>
      <c r="L12" s="3">
        <f t="shared" si="7"/>
        <v>11990</v>
      </c>
      <c r="M12" s="121">
        <v>1429</v>
      </c>
      <c r="N12" s="92">
        <v>0</v>
      </c>
      <c r="O12" s="151">
        <f t="shared" si="0"/>
        <v>13419</v>
      </c>
      <c r="Q12" s="100">
        <v>0</v>
      </c>
      <c r="R12" s="100"/>
      <c r="S12" s="100">
        <f t="shared" si="8"/>
        <v>46.096774193548384</v>
      </c>
      <c r="T12" s="100"/>
      <c r="U12" s="208">
        <f t="shared" si="9"/>
        <v>46.096774193548384</v>
      </c>
      <c r="V12" s="44"/>
      <c r="W12" s="43"/>
      <c r="X12" s="43"/>
      <c r="Y12" s="8"/>
      <c r="Z12" s="8"/>
      <c r="AA12" s="65"/>
      <c r="AB12" s="8"/>
    </row>
    <row r="13" spans="1:30" x14ac:dyDescent="0.2">
      <c r="A13" s="1">
        <f>'Ex 1 HDD'!A13</f>
        <v>42675</v>
      </c>
      <c r="B13" s="73">
        <f t="shared" si="1"/>
        <v>12789.445</v>
      </c>
      <c r="C13" s="44">
        <f t="shared" si="2"/>
        <v>13419</v>
      </c>
      <c r="D13" s="47">
        <f t="shared" si="10"/>
        <v>-629.55500000000029</v>
      </c>
      <c r="E13" s="80">
        <v>12789445</v>
      </c>
      <c r="F13" s="95">
        <f t="shared" si="3"/>
        <v>12789.445</v>
      </c>
      <c r="G13"/>
      <c r="H13" s="73">
        <f t="shared" si="6"/>
        <v>58296.500999999997</v>
      </c>
      <c r="I13" s="73">
        <f t="shared" si="4"/>
        <v>59060</v>
      </c>
      <c r="J13" s="73"/>
      <c r="K13" s="1">
        <f t="shared" si="5"/>
        <v>42675</v>
      </c>
      <c r="L13" s="3">
        <f t="shared" si="7"/>
        <v>13419</v>
      </c>
      <c r="M13" s="121">
        <v>0</v>
      </c>
      <c r="N13" s="92">
        <v>0</v>
      </c>
      <c r="O13" s="151">
        <f t="shared" si="0"/>
        <v>13419</v>
      </c>
      <c r="Q13" s="100">
        <v>0</v>
      </c>
      <c r="R13" s="100"/>
      <c r="S13" s="100">
        <f t="shared" si="8"/>
        <v>0</v>
      </c>
      <c r="T13" s="100"/>
      <c r="U13" s="208">
        <f t="shared" si="9"/>
        <v>0</v>
      </c>
      <c r="V13" s="44"/>
      <c r="W13" s="43"/>
      <c r="X13" s="43"/>
      <c r="Y13" s="8"/>
      <c r="Z13" s="8"/>
      <c r="AA13" s="65"/>
      <c r="AB13" s="8"/>
    </row>
    <row r="14" spans="1:30" x14ac:dyDescent="0.2">
      <c r="A14" s="1">
        <f>'Ex 1 HDD'!A14</f>
        <v>42705</v>
      </c>
      <c r="B14" s="73">
        <f t="shared" si="1"/>
        <v>8147.7650000000003</v>
      </c>
      <c r="C14" s="44">
        <f t="shared" si="2"/>
        <v>7385.53271484375</v>
      </c>
      <c r="D14" s="47">
        <f t="shared" si="10"/>
        <v>762.23228515625033</v>
      </c>
      <c r="E14" s="80">
        <v>8147765</v>
      </c>
      <c r="F14" s="95">
        <f t="shared" si="3"/>
        <v>8147.7650000000003</v>
      </c>
      <c r="G14"/>
      <c r="H14" s="73">
        <f t="shared" si="6"/>
        <v>66444.266000000003</v>
      </c>
      <c r="I14" s="73">
        <f t="shared" si="4"/>
        <v>66445.53271484375</v>
      </c>
      <c r="J14" s="73"/>
      <c r="K14" s="1">
        <f t="shared" si="5"/>
        <v>42705</v>
      </c>
      <c r="L14" s="3">
        <f t="shared" si="7"/>
        <v>13419</v>
      </c>
      <c r="M14" s="121">
        <v>0</v>
      </c>
      <c r="N14" s="92">
        <v>6033.46728515625</v>
      </c>
      <c r="O14" s="151">
        <f t="shared" si="0"/>
        <v>7385.53271484375</v>
      </c>
      <c r="Q14" s="100">
        <v>3417.48</v>
      </c>
      <c r="R14" s="100"/>
      <c r="S14" s="100">
        <f t="shared" si="8"/>
        <v>0</v>
      </c>
      <c r="T14" s="100"/>
      <c r="U14" s="208">
        <f t="shared" si="9"/>
        <v>-194.62797694052421</v>
      </c>
      <c r="V14" s="44"/>
      <c r="W14" s="43"/>
      <c r="X14" s="43"/>
      <c r="Y14" s="8"/>
      <c r="Z14" s="8"/>
      <c r="AA14" s="65"/>
      <c r="AB14" s="8"/>
    </row>
    <row r="15" spans="1:30" x14ac:dyDescent="0.2">
      <c r="A15" s="1">
        <f>'Ex 1 HDD'!A15</f>
        <v>42736</v>
      </c>
      <c r="B15" s="73">
        <f t="shared" si="1"/>
        <v>5031.8580000000002</v>
      </c>
      <c r="C15" s="44">
        <f>O15</f>
        <v>2854.077880859375</v>
      </c>
      <c r="D15" s="47">
        <f t="shared" si="10"/>
        <v>2177.7801191406252</v>
      </c>
      <c r="E15" s="80">
        <v>5031858</v>
      </c>
      <c r="F15" s="95">
        <f t="shared" si="3"/>
        <v>5031.8580000000002</v>
      </c>
      <c r="G15"/>
      <c r="H15" s="73">
        <f t="shared" si="6"/>
        <v>71476.124000000011</v>
      </c>
      <c r="I15" s="73">
        <f t="shared" si="4"/>
        <v>69299.610595703125</v>
      </c>
      <c r="J15" s="73"/>
      <c r="K15" s="1">
        <f t="shared" si="5"/>
        <v>42736</v>
      </c>
      <c r="L15" s="3">
        <f t="shared" si="7"/>
        <v>7385.53271484375</v>
      </c>
      <c r="M15" s="121">
        <v>0</v>
      </c>
      <c r="N15" s="92">
        <v>4531.454833984375</v>
      </c>
      <c r="O15" s="151">
        <f t="shared" si="0"/>
        <v>2854.077880859375</v>
      </c>
      <c r="Q15" s="100">
        <v>5311.68</v>
      </c>
      <c r="R15" s="100"/>
      <c r="S15" s="100">
        <f t="shared" si="8"/>
        <v>0</v>
      </c>
      <c r="T15" s="100"/>
      <c r="U15" s="208">
        <f t="shared" si="9"/>
        <v>-146.17596238659274</v>
      </c>
      <c r="V15" s="44"/>
      <c r="W15" s="43"/>
      <c r="X15" s="43"/>
      <c r="Y15" s="8"/>
      <c r="Z15" s="8"/>
      <c r="AA15" s="65"/>
      <c r="AB15" s="8"/>
    </row>
    <row r="16" spans="1:30" x14ac:dyDescent="0.2">
      <c r="A16" s="1">
        <f>'Ex 1 HDD'!A16</f>
        <v>42767</v>
      </c>
      <c r="B16" s="73">
        <f t="shared" si="1"/>
        <v>2808.5590000000002</v>
      </c>
      <c r="C16" s="44">
        <f t="shared" ref="C16:C19" si="11">O16</f>
        <v>250.9351806640625</v>
      </c>
      <c r="D16" s="47"/>
      <c r="E16" s="80">
        <v>2808559</v>
      </c>
      <c r="F16" s="95">
        <f t="shared" si="3"/>
        <v>2808.5590000000002</v>
      </c>
      <c r="G16"/>
      <c r="H16" s="73">
        <f t="shared" si="6"/>
        <v>74284.683000000005</v>
      </c>
      <c r="I16" s="73">
        <f t="shared" si="4"/>
        <v>69550.545776367188</v>
      </c>
      <c r="J16" s="73"/>
      <c r="K16" s="1">
        <f t="shared" si="5"/>
        <v>42767</v>
      </c>
      <c r="L16" s="3">
        <f t="shared" si="7"/>
        <v>2854.077880859375</v>
      </c>
      <c r="M16" s="121">
        <v>0</v>
      </c>
      <c r="N16" s="92">
        <v>2603.1427001953125</v>
      </c>
      <c r="O16" s="151">
        <f t="shared" si="0"/>
        <v>250.9351806640625</v>
      </c>
      <c r="Q16" s="100">
        <v>3252.24</v>
      </c>
      <c r="R16" s="100"/>
      <c r="S16" s="100">
        <f t="shared" si="8"/>
        <v>0</v>
      </c>
      <c r="T16" s="100"/>
      <c r="U16" s="208">
        <f t="shared" si="9"/>
        <v>-83.972345167590731</v>
      </c>
      <c r="V16" s="44"/>
      <c r="W16" s="43"/>
      <c r="X16" s="43"/>
      <c r="Y16" s="8"/>
      <c r="Z16" s="8"/>
      <c r="AA16" s="65"/>
      <c r="AB16" s="8"/>
    </row>
    <row r="17" spans="1:30" x14ac:dyDescent="0.2">
      <c r="A17" s="1">
        <f>'Ex 1 HDD'!A17</f>
        <v>42795</v>
      </c>
      <c r="B17" s="73">
        <f t="shared" si="1"/>
        <v>897.35900000000004</v>
      </c>
      <c r="C17" s="44">
        <f t="shared" si="11"/>
        <v>751.46388244628906</v>
      </c>
      <c r="D17" s="151"/>
      <c r="E17" s="80">
        <v>897359</v>
      </c>
      <c r="F17" s="95">
        <f t="shared" si="3"/>
        <v>897.35900000000004</v>
      </c>
      <c r="G17"/>
      <c r="H17" s="73">
        <f t="shared" si="6"/>
        <v>75182.042000000001</v>
      </c>
      <c r="I17" s="73">
        <f t="shared" si="4"/>
        <v>70302.009658813477</v>
      </c>
      <c r="J17" s="73"/>
      <c r="K17" s="1">
        <f t="shared" si="5"/>
        <v>42795</v>
      </c>
      <c r="L17" s="3">
        <f t="shared" si="7"/>
        <v>250.9351806640625</v>
      </c>
      <c r="M17" s="121">
        <v>500.52870178222656</v>
      </c>
      <c r="N17" s="92">
        <v>0</v>
      </c>
      <c r="O17" s="151">
        <f t="shared" si="0"/>
        <v>751.46388244628906</v>
      </c>
      <c r="Q17" s="100">
        <v>0</v>
      </c>
      <c r="R17" s="100"/>
      <c r="S17" s="100">
        <f t="shared" si="8"/>
        <v>16.146087154265373</v>
      </c>
      <c r="T17" s="100"/>
      <c r="U17" s="208">
        <f t="shared" si="9"/>
        <v>16.146087154265373</v>
      </c>
      <c r="V17" s="44"/>
      <c r="W17" s="43"/>
      <c r="X17" s="43"/>
      <c r="Y17" s="8"/>
      <c r="Z17" s="8"/>
      <c r="AA17" s="65"/>
      <c r="AB17" s="8"/>
    </row>
    <row r="18" spans="1:30" x14ac:dyDescent="0.2">
      <c r="A18" s="1">
        <f>'Ex 1 HDD'!A18</f>
        <v>42826</v>
      </c>
      <c r="B18" s="73">
        <f t="shared" ref="B18:B19" si="12">F18</f>
        <v>0</v>
      </c>
      <c r="C18" s="44">
        <f t="shared" si="11"/>
        <v>2050.8766174316406</v>
      </c>
      <c r="D18" s="73"/>
      <c r="E18" s="73">
        <v>0</v>
      </c>
      <c r="F18" s="3">
        <f t="shared" si="3"/>
        <v>0</v>
      </c>
      <c r="G18"/>
      <c r="H18" s="73">
        <f t="shared" si="6"/>
        <v>75182.042000000001</v>
      </c>
      <c r="I18" s="73">
        <f t="shared" si="4"/>
        <v>72352.886276245117</v>
      </c>
      <c r="J18" s="73"/>
      <c r="K18" s="1">
        <f t="shared" si="5"/>
        <v>42826</v>
      </c>
      <c r="L18" s="3">
        <f t="shared" si="7"/>
        <v>751.46388244628906</v>
      </c>
      <c r="M18" s="121">
        <v>1357.4180603027344</v>
      </c>
      <c r="N18" s="92">
        <v>58.005325317382813</v>
      </c>
      <c r="O18" s="151">
        <f t="shared" si="0"/>
        <v>2050.8766174316406</v>
      </c>
      <c r="Q18" s="100">
        <v>0</v>
      </c>
      <c r="R18" s="100"/>
      <c r="S18" s="100">
        <f t="shared" si="8"/>
        <v>43.787679364604337</v>
      </c>
      <c r="T18" s="100"/>
      <c r="U18" s="208">
        <f t="shared" si="9"/>
        <v>41.916539838237149</v>
      </c>
      <c r="V18" s="44"/>
      <c r="W18" s="43"/>
      <c r="X18" s="43"/>
      <c r="Y18" s="8"/>
      <c r="Z18" s="8"/>
      <c r="AA18" s="65"/>
      <c r="AB18" s="8"/>
    </row>
    <row r="19" spans="1:30" x14ac:dyDescent="0.2">
      <c r="A19" s="1">
        <f>'Ex 1 HDD'!A19</f>
        <v>42856</v>
      </c>
      <c r="B19" s="73">
        <f t="shared" si="12"/>
        <v>0</v>
      </c>
      <c r="C19" s="44">
        <f t="shared" si="11"/>
        <v>4716.8766174316406</v>
      </c>
      <c r="D19" s="73"/>
      <c r="E19" s="73">
        <v>0</v>
      </c>
      <c r="F19" s="3">
        <f t="shared" si="3"/>
        <v>0</v>
      </c>
      <c r="G19"/>
      <c r="H19" s="73">
        <f t="shared" si="6"/>
        <v>75182.042000000001</v>
      </c>
      <c r="I19" s="73">
        <f t="shared" si="4"/>
        <v>77069.762893676758</v>
      </c>
      <c r="J19" s="73"/>
      <c r="K19" s="1">
        <f t="shared" si="5"/>
        <v>42856</v>
      </c>
      <c r="L19" s="3">
        <f t="shared" si="7"/>
        <v>2050.8766174316406</v>
      </c>
      <c r="M19" s="122">
        <v>2666</v>
      </c>
      <c r="N19" s="123">
        <v>0</v>
      </c>
      <c r="O19" s="151">
        <f t="shared" si="0"/>
        <v>4716.8766174316406</v>
      </c>
      <c r="Q19" s="100">
        <v>0</v>
      </c>
      <c r="R19" s="100"/>
      <c r="S19" s="100">
        <f t="shared" si="8"/>
        <v>86</v>
      </c>
      <c r="T19" s="100"/>
      <c r="U19" s="208">
        <f t="shared" si="9"/>
        <v>86</v>
      </c>
      <c r="V19" s="44"/>
      <c r="W19" s="43"/>
      <c r="X19" s="43"/>
      <c r="Y19" s="8"/>
      <c r="Z19" s="8"/>
      <c r="AA19" s="65"/>
      <c r="AB19" s="8"/>
    </row>
    <row r="20" spans="1:30" x14ac:dyDescent="0.2">
      <c r="B20" s="73"/>
      <c r="C20" s="44"/>
      <c r="D20" s="44">
        <f>SUM(D8:D19)</f>
        <v>2176.5134042968757</v>
      </c>
      <c r="F20" s="80"/>
      <c r="I20" s="73"/>
      <c r="X20" s="8"/>
      <c r="Y20" s="8"/>
      <c r="Z20" s="8"/>
      <c r="AA20" s="8"/>
      <c r="AB20" s="8"/>
      <c r="AC20" s="8"/>
      <c r="AD20" s="8"/>
    </row>
    <row r="21" spans="1:30" x14ac:dyDescent="0.2">
      <c r="B21" s="73">
        <f>B12-B13</f>
        <v>193.29900000000089</v>
      </c>
      <c r="C21" s="73">
        <f>C12-C13</f>
        <v>0</v>
      </c>
      <c r="D21" s="47">
        <f>AVERAGE(D8:D14)</f>
        <v>-0.18095926339278126</v>
      </c>
      <c r="G21" s="88"/>
      <c r="M21" s="68">
        <f>SUM(M8:M12)</f>
        <v>11921</v>
      </c>
      <c r="N21" s="87">
        <f>SUM(M8:M19)</f>
        <v>16444.946762084961</v>
      </c>
      <c r="O21" s="94">
        <f>SUM(N8:N19)</f>
        <v>13226.07014465332</v>
      </c>
      <c r="X21" s="8"/>
      <c r="Y21" s="8"/>
      <c r="Z21" s="8"/>
      <c r="AA21" s="8"/>
      <c r="AB21" s="8"/>
      <c r="AC21" s="8"/>
      <c r="AD21" s="8"/>
    </row>
    <row r="22" spans="1:30" x14ac:dyDescent="0.2">
      <c r="B22" s="73">
        <f t="shared" ref="B22:C25" si="13">B13-B14</f>
        <v>4641.6799999999994</v>
      </c>
      <c r="C22" s="73">
        <f t="shared" si="13"/>
        <v>6033.46728515625</v>
      </c>
      <c r="E22" s="73"/>
      <c r="G22" s="88"/>
      <c r="N22" s="68"/>
      <c r="X22" s="8"/>
      <c r="Y22" s="8"/>
      <c r="Z22" s="8"/>
      <c r="AA22" s="8"/>
      <c r="AB22" s="8"/>
      <c r="AC22" s="8"/>
      <c r="AD22" s="8"/>
    </row>
    <row r="23" spans="1:30" x14ac:dyDescent="0.2">
      <c r="B23" s="73">
        <f t="shared" si="13"/>
        <v>3115.9070000000002</v>
      </c>
      <c r="C23" s="73">
        <f t="shared" si="13"/>
        <v>4531.454833984375</v>
      </c>
      <c r="D23" s="30"/>
      <c r="E23" s="73"/>
      <c r="G23" s="88"/>
      <c r="N23" s="68"/>
      <c r="X23" s="8"/>
      <c r="Y23" s="8"/>
      <c r="Z23" s="8"/>
      <c r="AA23" s="8"/>
      <c r="AB23" s="8"/>
      <c r="AC23" s="8"/>
      <c r="AD23" s="8"/>
    </row>
    <row r="24" spans="1:30" x14ac:dyDescent="0.2">
      <c r="B24" s="73">
        <f t="shared" si="13"/>
        <v>2223.299</v>
      </c>
      <c r="C24" s="73">
        <f t="shared" si="13"/>
        <v>2603.1427001953125</v>
      </c>
      <c r="D24" s="73"/>
      <c r="E24" s="73"/>
      <c r="L24" s="8"/>
      <c r="M24" s="208"/>
      <c r="N24" s="8"/>
      <c r="O24" s="8"/>
      <c r="X24" s="8"/>
      <c r="Y24" s="8"/>
      <c r="Z24" s="8"/>
      <c r="AA24" s="8"/>
      <c r="AB24" s="8"/>
      <c r="AC24" s="8"/>
    </row>
    <row r="25" spans="1:30" x14ac:dyDescent="0.2">
      <c r="B25" s="73">
        <f t="shared" si="13"/>
        <v>1911.2000000000003</v>
      </c>
      <c r="C25" s="73">
        <f t="shared" si="13"/>
        <v>-500.52870178222656</v>
      </c>
      <c r="D25" s="73"/>
      <c r="E25" s="73"/>
      <c r="J25" s="151">
        <f>O15</f>
        <v>2854.077880859375</v>
      </c>
      <c r="L25" s="8"/>
      <c r="M25" s="208">
        <f>M18/30</f>
        <v>45.247268676757813</v>
      </c>
      <c r="N25" s="8"/>
      <c r="O25" s="8"/>
      <c r="X25" s="8"/>
      <c r="Y25" s="8"/>
      <c r="Z25" s="8"/>
      <c r="AA25" s="8"/>
      <c r="AB25" s="8"/>
      <c r="AC25" s="8"/>
    </row>
    <row r="26" spans="1:30" x14ac:dyDescent="0.2">
      <c r="C26" s="3"/>
      <c r="D26" s="73"/>
      <c r="H26">
        <v>1</v>
      </c>
      <c r="I26">
        <f>N16/29</f>
        <v>89.763541386045262</v>
      </c>
      <c r="J26" s="151">
        <f>J25-$I$26</f>
        <v>2764.3143394733297</v>
      </c>
      <c r="L26" s="8"/>
      <c r="M26" s="208"/>
      <c r="N26" s="8"/>
      <c r="O26" s="8"/>
    </row>
    <row r="27" spans="1:30" x14ac:dyDescent="0.2">
      <c r="C27" s="3"/>
      <c r="D27" s="73"/>
      <c r="E27" s="73"/>
      <c r="H27">
        <v>2</v>
      </c>
      <c r="J27" s="151">
        <f t="shared" ref="J27:J54" si="14">J26-$I$26</f>
        <v>2674.5507980872844</v>
      </c>
      <c r="L27" s="8"/>
      <c r="M27" s="208"/>
      <c r="N27" s="8"/>
      <c r="O27" s="8"/>
    </row>
    <row r="28" spans="1:30" x14ac:dyDescent="0.2">
      <c r="C28" s="3"/>
      <c r="D28" s="73"/>
      <c r="E28" s="73"/>
      <c r="H28">
        <v>3</v>
      </c>
      <c r="J28" s="151">
        <f t="shared" si="14"/>
        <v>2584.7872567012391</v>
      </c>
      <c r="L28" s="8"/>
      <c r="M28" s="208"/>
      <c r="N28" s="8"/>
      <c r="O28" s="8"/>
    </row>
    <row r="29" spans="1:30" x14ac:dyDescent="0.2">
      <c r="C29" s="3"/>
      <c r="D29" s="73"/>
      <c r="E29" s="73"/>
      <c r="H29">
        <v>4</v>
      </c>
      <c r="J29" s="151">
        <f t="shared" si="14"/>
        <v>2495.0237153151938</v>
      </c>
      <c r="L29" s="8"/>
      <c r="M29" s="208"/>
      <c r="N29" s="8"/>
      <c r="O29" s="8"/>
    </row>
    <row r="30" spans="1:30" x14ac:dyDescent="0.2">
      <c r="C30" s="3"/>
      <c r="D30" s="73"/>
      <c r="E30" s="73"/>
      <c r="H30">
        <v>5</v>
      </c>
      <c r="J30" s="151">
        <f t="shared" si="14"/>
        <v>2405.2601739291486</v>
      </c>
      <c r="L30" s="8"/>
      <c r="M30" s="208"/>
      <c r="N30" s="8"/>
      <c r="O30" s="8"/>
    </row>
    <row r="31" spans="1:30" x14ac:dyDescent="0.2">
      <c r="C31" s="3"/>
      <c r="D31" s="73"/>
      <c r="H31">
        <v>6</v>
      </c>
      <c r="J31" s="151">
        <f t="shared" si="14"/>
        <v>2315.4966325431033</v>
      </c>
      <c r="L31" s="8"/>
      <c r="M31" s="208"/>
      <c r="N31" s="8"/>
      <c r="O31" s="8"/>
    </row>
    <row r="32" spans="1:30" x14ac:dyDescent="0.2">
      <c r="A32" s="1"/>
      <c r="C32" s="3"/>
      <c r="D32" s="73"/>
      <c r="H32">
        <v>7</v>
      </c>
      <c r="J32" s="151">
        <f t="shared" si="14"/>
        <v>2225.733091157058</v>
      </c>
      <c r="L32" s="8"/>
      <c r="M32" s="208"/>
      <c r="N32" s="8"/>
      <c r="O32" s="8"/>
    </row>
    <row r="33" spans="1:15" x14ac:dyDescent="0.2">
      <c r="A33" s="1"/>
      <c r="H33">
        <v>8</v>
      </c>
      <c r="J33" s="151">
        <f t="shared" si="14"/>
        <v>2135.9695497710127</v>
      </c>
      <c r="L33" s="8"/>
      <c r="M33" s="208"/>
      <c r="N33" s="8"/>
      <c r="O33" s="8"/>
    </row>
    <row r="34" spans="1:15" x14ac:dyDescent="0.2">
      <c r="C34" s="3"/>
      <c r="D34" s="73"/>
      <c r="H34">
        <v>9</v>
      </c>
      <c r="J34" s="151">
        <f t="shared" si="14"/>
        <v>2046.2060083849674</v>
      </c>
      <c r="L34" s="8"/>
      <c r="M34" s="8"/>
      <c r="N34" s="8"/>
      <c r="O34" s="8"/>
    </row>
    <row r="35" spans="1:15" x14ac:dyDescent="0.2">
      <c r="C35" s="3"/>
      <c r="D35" s="73"/>
      <c r="H35">
        <v>10</v>
      </c>
      <c r="J35" s="151">
        <f t="shared" si="14"/>
        <v>1956.4424669989221</v>
      </c>
      <c r="L35" s="8"/>
      <c r="M35" s="8"/>
      <c r="N35" s="8"/>
      <c r="O35" s="8"/>
    </row>
    <row r="36" spans="1:15" x14ac:dyDescent="0.2">
      <c r="H36">
        <v>11</v>
      </c>
      <c r="J36" s="151">
        <f t="shared" si="14"/>
        <v>1866.6789256128768</v>
      </c>
      <c r="L36" s="8"/>
      <c r="M36" s="8"/>
      <c r="N36" s="8"/>
      <c r="O36" s="8"/>
    </row>
    <row r="37" spans="1:15" x14ac:dyDescent="0.2">
      <c r="A37" s="1"/>
      <c r="B37" s="3"/>
      <c r="H37">
        <v>12</v>
      </c>
      <c r="J37" s="151">
        <f t="shared" si="14"/>
        <v>1776.9153842268315</v>
      </c>
      <c r="L37" s="8"/>
      <c r="M37" s="8"/>
      <c r="N37" s="8"/>
      <c r="O37" s="8"/>
    </row>
    <row r="38" spans="1:15" x14ac:dyDescent="0.2">
      <c r="A38" s="1"/>
      <c r="B38" s="3"/>
      <c r="H38">
        <v>13</v>
      </c>
      <c r="J38" s="151">
        <f t="shared" si="14"/>
        <v>1687.1518428407862</v>
      </c>
      <c r="L38" s="8"/>
      <c r="M38" s="8"/>
      <c r="N38" s="8"/>
      <c r="O38" s="8"/>
    </row>
    <row r="39" spans="1:15" x14ac:dyDescent="0.2">
      <c r="A39" s="1"/>
      <c r="B39" s="3"/>
      <c r="H39">
        <v>14</v>
      </c>
      <c r="J39" s="151">
        <f t="shared" si="14"/>
        <v>1597.3883014547409</v>
      </c>
    </row>
    <row r="40" spans="1:15" x14ac:dyDescent="0.2">
      <c r="A40" s="1"/>
      <c r="B40" s="3"/>
      <c r="H40">
        <v>15</v>
      </c>
      <c r="J40" s="151">
        <f t="shared" si="14"/>
        <v>1507.6247600686957</v>
      </c>
    </row>
    <row r="41" spans="1:15" x14ac:dyDescent="0.2">
      <c r="H41">
        <v>16</v>
      </c>
      <c r="J41" s="151">
        <f>J40-$I$26</f>
        <v>1417.8612186826504</v>
      </c>
    </row>
    <row r="42" spans="1:15" x14ac:dyDescent="0.2">
      <c r="H42">
        <v>17</v>
      </c>
      <c r="J42" s="151">
        <f t="shared" si="14"/>
        <v>1328.0976772966051</v>
      </c>
    </row>
    <row r="43" spans="1:15" x14ac:dyDescent="0.2">
      <c r="B43">
        <v>5626242</v>
      </c>
      <c r="C43">
        <v>8026685</v>
      </c>
      <c r="D43">
        <v>10622439</v>
      </c>
      <c r="E43">
        <v>12607382</v>
      </c>
      <c r="H43">
        <v>18</v>
      </c>
      <c r="I43" s="50"/>
      <c r="J43" s="151">
        <f t="shared" si="14"/>
        <v>1238.3341359105598</v>
      </c>
      <c r="K43" s="50"/>
    </row>
    <row r="44" spans="1:15" x14ac:dyDescent="0.2">
      <c r="E44" s="50">
        <v>12434437</v>
      </c>
      <c r="H44">
        <v>19</v>
      </c>
      <c r="J44" s="151">
        <f t="shared" si="14"/>
        <v>1148.5705945245145</v>
      </c>
    </row>
    <row r="45" spans="1:15" x14ac:dyDescent="0.2">
      <c r="E45" s="50">
        <v>10491542</v>
      </c>
      <c r="H45">
        <v>20</v>
      </c>
      <c r="J45" s="151">
        <f t="shared" si="14"/>
        <v>1058.8070531384692</v>
      </c>
    </row>
    <row r="46" spans="1:15" x14ac:dyDescent="0.2">
      <c r="H46">
        <v>21</v>
      </c>
      <c r="J46" s="151">
        <f t="shared" si="14"/>
        <v>969.04351175242391</v>
      </c>
    </row>
    <row r="47" spans="1:15" x14ac:dyDescent="0.2">
      <c r="H47">
        <v>22</v>
      </c>
      <c r="J47" s="151">
        <f t="shared" si="14"/>
        <v>879.27997036637862</v>
      </c>
    </row>
    <row r="48" spans="1:15" x14ac:dyDescent="0.2">
      <c r="H48">
        <v>23</v>
      </c>
      <c r="J48" s="151">
        <f t="shared" si="14"/>
        <v>789.51642898033333</v>
      </c>
    </row>
    <row r="49" spans="2:17" x14ac:dyDescent="0.2">
      <c r="B49">
        <v>13419</v>
      </c>
      <c r="H49">
        <v>24</v>
      </c>
      <c r="J49" s="151">
        <f t="shared" si="14"/>
        <v>699.75288759428804</v>
      </c>
    </row>
    <row r="50" spans="2:17" x14ac:dyDescent="0.2">
      <c r="B50" s="225">
        <v>0.2276</v>
      </c>
      <c r="H50">
        <v>25</v>
      </c>
      <c r="J50" s="151">
        <f t="shared" si="14"/>
        <v>609.98934620824275</v>
      </c>
    </row>
    <row r="51" spans="2:17" x14ac:dyDescent="0.2">
      <c r="B51" s="3">
        <f>B49*B50</f>
        <v>3054.1644000000001</v>
      </c>
      <c r="H51">
        <v>26</v>
      </c>
      <c r="J51" s="151">
        <f t="shared" si="14"/>
        <v>520.22580482219746</v>
      </c>
    </row>
    <row r="52" spans="2:17" x14ac:dyDescent="0.2">
      <c r="B52" s="3"/>
      <c r="H52">
        <v>27</v>
      </c>
      <c r="J52" s="151">
        <f t="shared" si="14"/>
        <v>430.46226343615217</v>
      </c>
    </row>
    <row r="53" spans="2:17" x14ac:dyDescent="0.2">
      <c r="B53" s="3"/>
      <c r="H53">
        <v>28</v>
      </c>
      <c r="J53" s="151">
        <f t="shared" si="14"/>
        <v>340.69872205010688</v>
      </c>
    </row>
    <row r="54" spans="2:17" x14ac:dyDescent="0.2">
      <c r="B54" s="3"/>
      <c r="H54">
        <v>29</v>
      </c>
      <c r="J54" s="151">
        <f t="shared" si="14"/>
        <v>250.93518066406162</v>
      </c>
    </row>
    <row r="55" spans="2:17" x14ac:dyDescent="0.2">
      <c r="B55" s="3"/>
      <c r="H55">
        <v>30</v>
      </c>
      <c r="J55" s="151"/>
    </row>
    <row r="56" spans="2:17" x14ac:dyDescent="0.2">
      <c r="B56" s="3"/>
    </row>
    <row r="58" spans="2:17" x14ac:dyDescent="0.2">
      <c r="C58" s="50"/>
      <c r="D58" s="50"/>
      <c r="E58" s="50"/>
      <c r="F58" s="224" t="s">
        <v>171</v>
      </c>
      <c r="G58" s="224" t="s">
        <v>172</v>
      </c>
      <c r="H58" s="224" t="s">
        <v>173</v>
      </c>
      <c r="I58" s="224" t="s">
        <v>175</v>
      </c>
      <c r="J58" s="224" t="s">
        <v>176</v>
      </c>
      <c r="K58" s="224" t="s">
        <v>177</v>
      </c>
      <c r="L58" s="224" t="s">
        <v>178</v>
      </c>
      <c r="M58" s="224" t="s">
        <v>216</v>
      </c>
      <c r="N58" s="224" t="s">
        <v>217</v>
      </c>
      <c r="O58" s="224" t="s">
        <v>218</v>
      </c>
      <c r="P58" s="224" t="s">
        <v>219</v>
      </c>
      <c r="Q58" s="224" t="s">
        <v>220</v>
      </c>
    </row>
    <row r="59" spans="2:17" x14ac:dyDescent="0.2">
      <c r="C59" s="50"/>
      <c r="D59" s="50"/>
      <c r="E59" s="50"/>
      <c r="F59" s="50">
        <v>4587175</v>
      </c>
      <c r="G59" s="50">
        <v>7350188</v>
      </c>
      <c r="H59" s="50">
        <v>10347695</v>
      </c>
      <c r="I59" s="50">
        <v>12594397</v>
      </c>
      <c r="J59">
        <v>12186418</v>
      </c>
      <c r="K59">
        <f>E13</f>
        <v>12789445</v>
      </c>
      <c r="L59">
        <f>E14</f>
        <v>8147765</v>
      </c>
      <c r="M59">
        <f>E15</f>
        <v>5031858</v>
      </c>
      <c r="N59">
        <f>E16</f>
        <v>2808559</v>
      </c>
      <c r="Q59"/>
    </row>
    <row r="60" spans="2:17" x14ac:dyDescent="0.2">
      <c r="E60">
        <v>0.44444440000000002</v>
      </c>
      <c r="F60">
        <f>$E60*F$59/1000</f>
        <v>2038.7442405700001</v>
      </c>
      <c r="G60">
        <f t="shared" ref="G60:N60" si="15">$E60*G$59/1000</f>
        <v>3266.7498955472001</v>
      </c>
      <c r="H60">
        <f t="shared" si="15"/>
        <v>4598.975095658001</v>
      </c>
      <c r="I60">
        <f t="shared" si="15"/>
        <v>5597.5092180268002</v>
      </c>
      <c r="J60">
        <f t="shared" si="15"/>
        <v>5416.1852361592</v>
      </c>
      <c r="K60">
        <f t="shared" si="15"/>
        <v>5684.1972093579998</v>
      </c>
      <c r="L60">
        <f t="shared" si="15"/>
        <v>3621.2285267660004</v>
      </c>
      <c r="M60">
        <f t="shared" si="15"/>
        <v>2236.3811096951999</v>
      </c>
      <c r="N60">
        <f t="shared" si="15"/>
        <v>1248.2483196195999</v>
      </c>
    </row>
    <row r="61" spans="2:17" x14ac:dyDescent="0.2">
      <c r="E61">
        <v>0.27777780000000002</v>
      </c>
      <c r="F61">
        <f t="shared" ref="F61:N62" si="16">$E61*F$59/1000</f>
        <v>1274.2153797150002</v>
      </c>
      <c r="G61">
        <f t="shared" si="16"/>
        <v>2041.7190522264002</v>
      </c>
      <c r="H61">
        <f t="shared" si="16"/>
        <v>2874.3599521710003</v>
      </c>
      <c r="I61">
        <f t="shared" si="16"/>
        <v>3498.4438909866003</v>
      </c>
      <c r="J61">
        <f t="shared" si="16"/>
        <v>3385.1163819204003</v>
      </c>
      <c r="K61">
        <f t="shared" si="16"/>
        <v>3552.6238953210004</v>
      </c>
      <c r="L61">
        <f t="shared" si="16"/>
        <v>2263.2682366170002</v>
      </c>
      <c r="M61">
        <f t="shared" si="16"/>
        <v>1397.7384451524001</v>
      </c>
      <c r="N61">
        <f t="shared" si="16"/>
        <v>780.15534019020004</v>
      </c>
    </row>
    <row r="62" spans="2:17" x14ac:dyDescent="0.2">
      <c r="E62">
        <v>0.27777780000000002</v>
      </c>
      <c r="F62">
        <f t="shared" si="16"/>
        <v>1274.2153797150002</v>
      </c>
      <c r="G62">
        <f t="shared" si="16"/>
        <v>2041.7190522264002</v>
      </c>
      <c r="H62">
        <f t="shared" si="16"/>
        <v>2874.3599521710003</v>
      </c>
      <c r="I62">
        <f t="shared" si="16"/>
        <v>3498.4438909866003</v>
      </c>
      <c r="J62">
        <f t="shared" si="16"/>
        <v>3385.1163819204003</v>
      </c>
      <c r="K62">
        <f t="shared" si="16"/>
        <v>3552.6238953210004</v>
      </c>
      <c r="L62">
        <f t="shared" si="16"/>
        <v>2263.2682366170002</v>
      </c>
      <c r="M62">
        <f t="shared" si="16"/>
        <v>1397.7384451524001</v>
      </c>
      <c r="N62">
        <f t="shared" si="16"/>
        <v>780.15534019020004</v>
      </c>
    </row>
    <row r="63" spans="2:17" x14ac:dyDescent="0.2">
      <c r="E63">
        <f>SUM(E60:E62)</f>
        <v>1</v>
      </c>
      <c r="F63">
        <f>SUM(F60:F62)</f>
        <v>4587.1750000000002</v>
      </c>
      <c r="G63" s="13">
        <f t="shared" ref="G63:N63" si="17">SUM(G60:G62)</f>
        <v>7350.1880000000001</v>
      </c>
      <c r="H63">
        <f t="shared" si="17"/>
        <v>10347.695000000002</v>
      </c>
      <c r="I63">
        <f t="shared" si="17"/>
        <v>12594.397000000001</v>
      </c>
      <c r="J63">
        <f t="shared" si="17"/>
        <v>12186.418000000001</v>
      </c>
      <c r="K63">
        <f t="shared" si="17"/>
        <v>12789.445</v>
      </c>
      <c r="L63">
        <f t="shared" si="17"/>
        <v>8147.7650000000003</v>
      </c>
      <c r="M63">
        <f t="shared" si="17"/>
        <v>5031.8580000000002</v>
      </c>
      <c r="N63">
        <f t="shared" si="17"/>
        <v>2808.5590000000002</v>
      </c>
    </row>
    <row r="65" spans="6:14" x14ac:dyDescent="0.2">
      <c r="F65">
        <v>13419</v>
      </c>
    </row>
    <row r="66" spans="6:14" x14ac:dyDescent="0.2">
      <c r="F66">
        <f>F60/$F$65</f>
        <v>0.15192966991355542</v>
      </c>
      <c r="G66">
        <f t="shared" ref="G66:J66" si="18">G60/$F$65</f>
        <v>0.24344212650325658</v>
      </c>
      <c r="H66">
        <f t="shared" si="18"/>
        <v>0.3427211487933528</v>
      </c>
      <c r="I66">
        <f t="shared" si="18"/>
        <v>0.4171331111131083</v>
      </c>
      <c r="J66">
        <f t="shared" si="18"/>
        <v>0.40362063016314181</v>
      </c>
      <c r="K66">
        <f t="shared" ref="K66:N66" si="19">K60/$F$65</f>
        <v>0.42359320436381248</v>
      </c>
      <c r="L66">
        <f t="shared" si="19"/>
        <v>0.26985829993039723</v>
      </c>
      <c r="M66">
        <f t="shared" si="19"/>
        <v>0.1666578068183322</v>
      </c>
      <c r="N66">
        <f t="shared" si="19"/>
        <v>9.3020964275996709E-2</v>
      </c>
    </row>
    <row r="67" spans="6:14" x14ac:dyDescent="0.2">
      <c r="F67">
        <f t="shared" ref="F67:J67" si="20">F61/$F$65</f>
        <v>9.4956060788061722E-2</v>
      </c>
      <c r="G67">
        <f t="shared" si="20"/>
        <v>0.15215135645177735</v>
      </c>
      <c r="H67">
        <f t="shared" si="20"/>
        <v>0.21420075655197857</v>
      </c>
      <c r="I67">
        <f t="shared" si="20"/>
        <v>0.26070824137317239</v>
      </c>
      <c r="J67">
        <f t="shared" si="20"/>
        <v>0.25226293925928911</v>
      </c>
      <c r="K67">
        <f t="shared" ref="K67:N67" si="21">K61/$F$65</f>
        <v>0.2647458003816231</v>
      </c>
      <c r="L67">
        <f t="shared" si="21"/>
        <v>0.16866146781556005</v>
      </c>
      <c r="M67">
        <f t="shared" si="21"/>
        <v>0.10416114801046279</v>
      </c>
      <c r="N67">
        <f t="shared" si="21"/>
        <v>5.8138113137357478E-2</v>
      </c>
    </row>
    <row r="68" spans="6:14" x14ac:dyDescent="0.2">
      <c r="F68">
        <f t="shared" ref="F68:J68" si="22">F62/$F$65</f>
        <v>9.4956060788061722E-2</v>
      </c>
      <c r="G68">
        <f t="shared" si="22"/>
        <v>0.15215135645177735</v>
      </c>
      <c r="H68">
        <f t="shared" si="22"/>
        <v>0.21420075655197857</v>
      </c>
      <c r="I68">
        <f t="shared" si="22"/>
        <v>0.26070824137317239</v>
      </c>
      <c r="J68">
        <f t="shared" si="22"/>
        <v>0.25226293925928911</v>
      </c>
      <c r="K68">
        <f t="shared" ref="K68:N68" si="23">K62/$F$65</f>
        <v>0.2647458003816231</v>
      </c>
      <c r="L68">
        <f t="shared" si="23"/>
        <v>0.16866146781556005</v>
      </c>
      <c r="M68">
        <f t="shared" si="23"/>
        <v>0.10416114801046279</v>
      </c>
      <c r="N68">
        <f t="shared" si="23"/>
        <v>5.8138113137357478E-2</v>
      </c>
    </row>
    <row r="69" spans="6:14" x14ac:dyDescent="0.2">
      <c r="F69">
        <f t="shared" ref="F69:J69" si="24">F63/$F$65</f>
        <v>0.3418417914896788</v>
      </c>
      <c r="G69">
        <f t="shared" si="24"/>
        <v>0.54774483940681129</v>
      </c>
      <c r="H69">
        <f t="shared" si="24"/>
        <v>0.77112266189730994</v>
      </c>
      <c r="I69">
        <f t="shared" si="24"/>
        <v>0.93854959385945302</v>
      </c>
      <c r="J69">
        <f t="shared" si="24"/>
        <v>0.90814650868172009</v>
      </c>
      <c r="K69">
        <f t="shared" ref="K69:N69" si="25">K63/$F$65</f>
        <v>0.95308480512705862</v>
      </c>
      <c r="L69">
        <f t="shared" si="25"/>
        <v>0.60718123556151726</v>
      </c>
      <c r="M69">
        <f t="shared" si="25"/>
        <v>0.37498010283925776</v>
      </c>
      <c r="N69">
        <f t="shared" si="25"/>
        <v>0.20929719055071169</v>
      </c>
    </row>
    <row r="72" spans="6:14" x14ac:dyDescent="0.2">
      <c r="F72">
        <v>13419</v>
      </c>
    </row>
    <row r="73" spans="6:14" x14ac:dyDescent="0.2">
      <c r="F73">
        <f>F60/$F$65*100</f>
        <v>15.192966991355542</v>
      </c>
      <c r="G73">
        <f t="shared" ref="G73:N73" si="26">G60/$F$65*100</f>
        <v>24.344212650325659</v>
      </c>
      <c r="H73">
        <f t="shared" si="26"/>
        <v>34.272114879335277</v>
      </c>
      <c r="I73">
        <f t="shared" si="26"/>
        <v>41.71331111131083</v>
      </c>
      <c r="J73">
        <f t="shared" si="26"/>
        <v>40.362063016314181</v>
      </c>
      <c r="K73">
        <f t="shared" si="26"/>
        <v>42.359320436381246</v>
      </c>
      <c r="L73">
        <f t="shared" si="26"/>
        <v>26.985829993039722</v>
      </c>
      <c r="M73">
        <f t="shared" si="26"/>
        <v>16.665780681833219</v>
      </c>
      <c r="N73">
        <f t="shared" si="26"/>
        <v>9.3020964275996718</v>
      </c>
    </row>
    <row r="74" spans="6:14" x14ac:dyDescent="0.2">
      <c r="F74">
        <f t="shared" ref="F74:N74" si="27">F61/$F$65*100</f>
        <v>9.4956060788061727</v>
      </c>
      <c r="G74">
        <f t="shared" si="27"/>
        <v>15.215135645177735</v>
      </c>
      <c r="H74">
        <f t="shared" si="27"/>
        <v>21.420075655197856</v>
      </c>
      <c r="I74">
        <f t="shared" si="27"/>
        <v>26.070824137317238</v>
      </c>
      <c r="J74">
        <f t="shared" si="27"/>
        <v>25.226293925928911</v>
      </c>
      <c r="K74">
        <f t="shared" si="27"/>
        <v>26.474580038162308</v>
      </c>
      <c r="L74">
        <f t="shared" si="27"/>
        <v>16.866146781556004</v>
      </c>
      <c r="M74">
        <f t="shared" si="27"/>
        <v>10.416114801046279</v>
      </c>
      <c r="N74">
        <f t="shared" si="27"/>
        <v>5.8138113137357479</v>
      </c>
    </row>
    <row r="75" spans="6:14" x14ac:dyDescent="0.2">
      <c r="F75">
        <f t="shared" ref="F75:N75" si="28">F62/$F$65*100</f>
        <v>9.4956060788061727</v>
      </c>
      <c r="G75">
        <f t="shared" si="28"/>
        <v>15.215135645177735</v>
      </c>
      <c r="H75">
        <f t="shared" si="28"/>
        <v>21.420075655197856</v>
      </c>
      <c r="I75">
        <f t="shared" si="28"/>
        <v>26.070824137317238</v>
      </c>
      <c r="J75">
        <f t="shared" si="28"/>
        <v>25.226293925928911</v>
      </c>
      <c r="K75">
        <f t="shared" si="28"/>
        <v>26.474580038162308</v>
      </c>
      <c r="L75">
        <f t="shared" si="28"/>
        <v>16.866146781556004</v>
      </c>
      <c r="M75">
        <f t="shared" si="28"/>
        <v>10.416114801046279</v>
      </c>
      <c r="N75">
        <f t="shared" si="28"/>
        <v>5.8138113137357479</v>
      </c>
    </row>
    <row r="76" spans="6:14" x14ac:dyDescent="0.2">
      <c r="F76">
        <f t="shared" ref="F76:N76" si="29">F70/$F$65</f>
        <v>0</v>
      </c>
      <c r="G76" s="13">
        <f t="shared" si="29"/>
        <v>0</v>
      </c>
      <c r="H76">
        <f t="shared" si="29"/>
        <v>0</v>
      </c>
      <c r="I76">
        <f t="shared" si="29"/>
        <v>0</v>
      </c>
      <c r="J76">
        <f t="shared" si="29"/>
        <v>0</v>
      </c>
      <c r="K76">
        <f t="shared" si="29"/>
        <v>0</v>
      </c>
      <c r="L76">
        <f t="shared" si="29"/>
        <v>0</v>
      </c>
      <c r="M76">
        <f t="shared" si="29"/>
        <v>0</v>
      </c>
      <c r="N76">
        <f t="shared" si="29"/>
        <v>0</v>
      </c>
    </row>
  </sheetData>
  <mergeCells count="5">
    <mergeCell ref="A4:I4"/>
    <mergeCell ref="A1:I1"/>
    <mergeCell ref="A5:I5"/>
    <mergeCell ref="A2:E2"/>
    <mergeCell ref="A3:F3"/>
  </mergeCells>
  <phoneticPr fontId="23" type="noConversion"/>
  <pageMargins left="0.75" right="0.75" top="1" bottom="1.03" header="0.5" footer="0.5"/>
  <pageSetup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U53"/>
  <sheetViews>
    <sheetView workbookViewId="0">
      <selection activeCell="K26" sqref="K26"/>
    </sheetView>
  </sheetViews>
  <sheetFormatPr defaultRowHeight="12.75" x14ac:dyDescent="0.2"/>
  <cols>
    <col min="1" max="1" width="10.7109375" customWidth="1"/>
    <col min="2" max="4" width="9.5703125" customWidth="1"/>
    <col min="5" max="5" width="6.42578125" customWidth="1"/>
    <col min="8" max="8" width="10.28515625" customWidth="1"/>
    <col min="9" max="9" width="11" customWidth="1"/>
    <col min="10" max="10" width="10.5703125" bestFit="1" customWidth="1"/>
    <col min="11" max="11" width="13.42578125" customWidth="1"/>
    <col min="14" max="14" width="12.28515625" customWidth="1"/>
  </cols>
  <sheetData>
    <row r="1" spans="1:21" x14ac:dyDescent="0.2">
      <c r="A1" s="7" t="s">
        <v>6</v>
      </c>
    </row>
    <row r="2" spans="1:21" x14ac:dyDescent="0.2">
      <c r="A2" s="431" t="s">
        <v>72</v>
      </c>
      <c r="B2" s="431"/>
      <c r="C2" s="431"/>
      <c r="D2" s="431"/>
      <c r="E2" s="431"/>
      <c r="F2" s="431"/>
      <c r="G2" s="431"/>
      <c r="H2" s="431"/>
      <c r="I2" s="431"/>
      <c r="J2" s="431"/>
      <c r="K2" s="431"/>
      <c r="L2" s="431"/>
      <c r="M2" s="431"/>
      <c r="N2" s="431"/>
      <c r="O2" s="431"/>
    </row>
    <row r="3" spans="1:21" x14ac:dyDescent="0.2">
      <c r="A3" s="431" t="s">
        <v>64</v>
      </c>
      <c r="B3" s="431"/>
      <c r="C3" s="431"/>
      <c r="D3" s="431"/>
      <c r="E3" s="431"/>
      <c r="F3" s="431"/>
      <c r="G3" s="431"/>
      <c r="H3" s="431"/>
      <c r="I3" s="431"/>
      <c r="J3" s="431"/>
      <c r="K3" s="431"/>
      <c r="L3" s="431"/>
      <c r="M3" s="431"/>
      <c r="N3" s="431"/>
      <c r="O3" s="431"/>
    </row>
    <row r="4" spans="1:21" x14ac:dyDescent="0.2">
      <c r="A4" s="437"/>
      <c r="B4" s="437"/>
      <c r="C4" s="437"/>
      <c r="D4" s="437"/>
      <c r="E4" s="437"/>
      <c r="F4" s="437"/>
      <c r="G4" s="437"/>
      <c r="H4" s="437"/>
      <c r="I4" s="437"/>
      <c r="J4" s="437"/>
      <c r="K4" s="146"/>
      <c r="L4" s="145"/>
      <c r="O4" s="48"/>
      <c r="P4" s="48"/>
    </row>
    <row r="5" spans="1:21" x14ac:dyDescent="0.2">
      <c r="H5">
        <v>1.0549999999999999</v>
      </c>
      <c r="M5" s="2" t="s">
        <v>0</v>
      </c>
      <c r="N5" t="s">
        <v>25</v>
      </c>
      <c r="O5" t="s">
        <v>54</v>
      </c>
      <c r="P5" t="s">
        <v>55</v>
      </c>
      <c r="Q5" t="s">
        <v>12</v>
      </c>
    </row>
    <row r="6" spans="1:21" x14ac:dyDescent="0.2">
      <c r="A6" s="2" t="s">
        <v>0</v>
      </c>
      <c r="B6" s="2" t="s">
        <v>1</v>
      </c>
      <c r="C6" s="2" t="s">
        <v>258</v>
      </c>
      <c r="D6" s="55"/>
      <c r="E6" s="2" t="s">
        <v>1</v>
      </c>
      <c r="F6" s="2" t="s">
        <v>258</v>
      </c>
      <c r="G6" s="8"/>
      <c r="H6" s="5" t="s">
        <v>8</v>
      </c>
      <c r="I6" s="5" t="s">
        <v>9</v>
      </c>
      <c r="J6" s="5" t="s">
        <v>10</v>
      </c>
      <c r="M6" s="66">
        <v>42491</v>
      </c>
      <c r="Q6">
        <v>743.63</v>
      </c>
      <c r="U6">
        <v>497.53800000000001</v>
      </c>
    </row>
    <row r="7" spans="1:21" x14ac:dyDescent="0.2">
      <c r="A7" s="1">
        <f>'Ex 1 HDD'!$A$8</f>
        <v>42522</v>
      </c>
      <c r="B7" s="3">
        <f>J7</f>
        <v>779.63199999999995</v>
      </c>
      <c r="C7" s="3">
        <f>Q7</f>
        <v>743.63</v>
      </c>
      <c r="D7" s="73">
        <f>B7-C7</f>
        <v>36.001999999999953</v>
      </c>
      <c r="E7" s="73">
        <f>B7</f>
        <v>779.63199999999995</v>
      </c>
      <c r="F7" s="73">
        <f>C7</f>
        <v>743.63</v>
      </c>
      <c r="G7" s="8"/>
      <c r="H7" s="74">
        <f>I7/$H$5</f>
        <v>738987.67772511858</v>
      </c>
      <c r="I7" s="74">
        <v>779632</v>
      </c>
      <c r="J7" s="67">
        <f>I7/1000</f>
        <v>779.63199999999995</v>
      </c>
      <c r="M7" s="66">
        <f>A7</f>
        <v>42522</v>
      </c>
      <c r="N7">
        <f>Q6</f>
        <v>743.63</v>
      </c>
      <c r="O7" s="120">
        <v>0</v>
      </c>
      <c r="P7" s="91">
        <v>0</v>
      </c>
      <c r="Q7" s="50">
        <f>N7+O7-P7</f>
        <v>743.63</v>
      </c>
      <c r="S7">
        <v>0</v>
      </c>
      <c r="U7">
        <v>365</v>
      </c>
    </row>
    <row r="8" spans="1:21" x14ac:dyDescent="0.2">
      <c r="A8" s="1">
        <f>'Ex 1 HDD'!$A$9</f>
        <v>42552</v>
      </c>
      <c r="B8" s="73">
        <f t="shared" ref="B8:B16" si="0">J8</f>
        <v>768.69500000000005</v>
      </c>
      <c r="C8" s="3">
        <f t="shared" ref="C8:C18" si="1">Q8</f>
        <v>743.63</v>
      </c>
      <c r="D8" s="73">
        <f t="shared" ref="D8:D18" si="2">B8-C8</f>
        <v>25.065000000000055</v>
      </c>
      <c r="E8" s="73">
        <f t="shared" ref="E8:E18" si="3">B8+E7</f>
        <v>1548.327</v>
      </c>
      <c r="F8" s="73">
        <f t="shared" ref="F8:F18" si="4">C8+F7</f>
        <v>1487.26</v>
      </c>
      <c r="G8" s="8"/>
      <c r="H8" s="74">
        <f t="shared" ref="H8:H18" si="5">I8/$H$5</f>
        <v>728620.85308056872</v>
      </c>
      <c r="I8" s="74">
        <v>768695</v>
      </c>
      <c r="J8" s="67">
        <f t="shared" ref="J8:J14" si="6">I8/1000</f>
        <v>768.69500000000005</v>
      </c>
      <c r="M8" s="66">
        <f t="shared" ref="M8:M18" si="7">A8</f>
        <v>42552</v>
      </c>
      <c r="N8">
        <f>Q7</f>
        <v>743.63</v>
      </c>
      <c r="O8" s="121">
        <v>0</v>
      </c>
      <c r="P8" s="92">
        <v>0</v>
      </c>
      <c r="Q8" s="50">
        <f t="shared" ref="Q8:Q18" si="8">N8+O8-P8</f>
        <v>743.63</v>
      </c>
      <c r="S8">
        <v>0</v>
      </c>
      <c r="U8">
        <v>12</v>
      </c>
    </row>
    <row r="9" spans="1:21" x14ac:dyDescent="0.2">
      <c r="A9" s="1">
        <f>'Ex 1 HDD'!$A$10</f>
        <v>42583</v>
      </c>
      <c r="B9" s="73">
        <f t="shared" si="0"/>
        <v>768.55</v>
      </c>
      <c r="C9" s="3">
        <f t="shared" si="1"/>
        <v>743.63</v>
      </c>
      <c r="D9" s="73">
        <f t="shared" si="2"/>
        <v>24.919999999999959</v>
      </c>
      <c r="E9" s="73">
        <f t="shared" si="3"/>
        <v>2316.877</v>
      </c>
      <c r="F9" s="73">
        <f t="shared" si="4"/>
        <v>2230.89</v>
      </c>
      <c r="G9" s="8"/>
      <c r="H9" s="74">
        <f t="shared" si="5"/>
        <v>728483.41232227487</v>
      </c>
      <c r="I9" s="74">
        <v>768550</v>
      </c>
      <c r="J9" s="67">
        <f t="shared" si="6"/>
        <v>768.55</v>
      </c>
      <c r="M9" s="66">
        <f t="shared" si="7"/>
        <v>42583</v>
      </c>
      <c r="N9">
        <f t="shared" ref="N9:N18" si="9">Q8</f>
        <v>743.63</v>
      </c>
      <c r="O9" s="121">
        <v>0</v>
      </c>
      <c r="P9" s="92">
        <v>0</v>
      </c>
      <c r="Q9" s="50">
        <f t="shared" si="8"/>
        <v>743.63</v>
      </c>
      <c r="S9">
        <v>0</v>
      </c>
      <c r="U9">
        <f>SUM(U6:U8)</f>
        <v>874.53800000000001</v>
      </c>
    </row>
    <row r="10" spans="1:21" x14ac:dyDescent="0.2">
      <c r="A10" s="1">
        <f>'Ex 1 HDD'!$A$11</f>
        <v>42614</v>
      </c>
      <c r="B10" s="73">
        <f t="shared" si="0"/>
        <v>872.48099999999999</v>
      </c>
      <c r="C10" s="3">
        <f t="shared" si="1"/>
        <v>743.63</v>
      </c>
      <c r="D10" s="73">
        <f t="shared" si="2"/>
        <v>128.851</v>
      </c>
      <c r="E10" s="73">
        <f t="shared" si="3"/>
        <v>3189.3580000000002</v>
      </c>
      <c r="F10" s="73">
        <f t="shared" si="4"/>
        <v>2974.52</v>
      </c>
      <c r="G10" s="8"/>
      <c r="H10" s="74">
        <f t="shared" si="5"/>
        <v>826996.20853080577</v>
      </c>
      <c r="I10" s="74">
        <v>872481</v>
      </c>
      <c r="J10" s="67">
        <f t="shared" si="6"/>
        <v>872.48099999999999</v>
      </c>
      <c r="M10" s="66">
        <f t="shared" si="7"/>
        <v>42614</v>
      </c>
      <c r="N10">
        <f t="shared" si="9"/>
        <v>743.63</v>
      </c>
      <c r="O10" s="121">
        <v>0</v>
      </c>
      <c r="P10" s="92">
        <v>0</v>
      </c>
      <c r="Q10" s="50">
        <f>N10+O10-P10</f>
        <v>743.63</v>
      </c>
      <c r="S10">
        <v>0</v>
      </c>
    </row>
    <row r="11" spans="1:21" x14ac:dyDescent="0.2">
      <c r="A11" s="1">
        <f>'Ex 1 HDD'!$A12</f>
        <v>42644</v>
      </c>
      <c r="B11" s="73">
        <f t="shared" si="0"/>
        <v>1055.857</v>
      </c>
      <c r="C11" s="3">
        <f t="shared" si="1"/>
        <v>1121.0299938964845</v>
      </c>
      <c r="D11" s="73">
        <f t="shared" si="2"/>
        <v>-65.172993896484513</v>
      </c>
      <c r="E11" s="73">
        <f t="shared" si="3"/>
        <v>4245.2150000000001</v>
      </c>
      <c r="F11" s="73">
        <f t="shared" si="4"/>
        <v>4095.5499938964845</v>
      </c>
      <c r="G11" s="8"/>
      <c r="H11" s="74">
        <f t="shared" si="5"/>
        <v>1000812.3222748815</v>
      </c>
      <c r="I11" s="74">
        <v>1055857</v>
      </c>
      <c r="J11" s="67">
        <f t="shared" si="6"/>
        <v>1055.857</v>
      </c>
      <c r="M11" s="66">
        <f t="shared" si="7"/>
        <v>42644</v>
      </c>
      <c r="N11">
        <f t="shared" si="9"/>
        <v>743.63</v>
      </c>
      <c r="O11" s="121">
        <v>377.39999389648437</v>
      </c>
      <c r="P11" s="92">
        <v>0</v>
      </c>
      <c r="Q11" s="50">
        <f>N11+O11-P11</f>
        <v>1121.0299938964845</v>
      </c>
      <c r="S11">
        <v>0</v>
      </c>
    </row>
    <row r="12" spans="1:21" x14ac:dyDescent="0.2">
      <c r="A12" s="1">
        <f>'Ex 1 HDD'!$A13</f>
        <v>42675</v>
      </c>
      <c r="B12" s="73">
        <f t="shared" si="0"/>
        <v>1665.79</v>
      </c>
      <c r="C12" s="3">
        <f t="shared" si="1"/>
        <v>1538.2289990234376</v>
      </c>
      <c r="D12" s="73">
        <f t="shared" si="2"/>
        <v>127.56100097656235</v>
      </c>
      <c r="E12" s="73">
        <f t="shared" si="3"/>
        <v>5911.0050000000001</v>
      </c>
      <c r="F12" s="73">
        <f t="shared" si="4"/>
        <v>5633.7789929199225</v>
      </c>
      <c r="G12" s="8"/>
      <c r="H12" s="74">
        <f t="shared" si="5"/>
        <v>1578947.8672985784</v>
      </c>
      <c r="I12" s="74">
        <v>1665790</v>
      </c>
      <c r="J12" s="67">
        <f t="shared" si="6"/>
        <v>1665.79</v>
      </c>
      <c r="M12" s="66">
        <f t="shared" si="7"/>
        <v>42675</v>
      </c>
      <c r="N12">
        <f t="shared" si="9"/>
        <v>1121.0299938964845</v>
      </c>
      <c r="O12" s="121">
        <v>417.19900512695312</v>
      </c>
      <c r="P12" s="92">
        <v>0</v>
      </c>
      <c r="Q12" s="50">
        <f>N12+O12-P12</f>
        <v>1538.2289990234376</v>
      </c>
      <c r="S12">
        <v>0</v>
      </c>
    </row>
    <row r="13" spans="1:21" x14ac:dyDescent="0.2">
      <c r="A13" s="1">
        <f>'Ex 1 HDD'!$A14</f>
        <v>42705</v>
      </c>
      <c r="B13" s="73">
        <f t="shared" si="0"/>
        <v>1796.6890000000001</v>
      </c>
      <c r="C13" s="3">
        <f t="shared" si="1"/>
        <v>1767.7289990234376</v>
      </c>
      <c r="D13" s="73">
        <f t="shared" si="2"/>
        <v>28.960000976562469</v>
      </c>
      <c r="E13" s="73">
        <f t="shared" si="3"/>
        <v>7707.6940000000004</v>
      </c>
      <c r="F13" s="73">
        <f t="shared" si="4"/>
        <v>7401.5079919433601</v>
      </c>
      <c r="G13" s="8"/>
      <c r="H13" s="74">
        <f t="shared" si="5"/>
        <v>1703022.7488151661</v>
      </c>
      <c r="I13" s="74">
        <v>1796689</v>
      </c>
      <c r="J13" s="82">
        <f t="shared" si="6"/>
        <v>1796.6890000000001</v>
      </c>
      <c r="M13" s="66">
        <f t="shared" si="7"/>
        <v>42705</v>
      </c>
      <c r="N13">
        <f t="shared" si="9"/>
        <v>1538.2289990234376</v>
      </c>
      <c r="O13" s="121">
        <v>229.5</v>
      </c>
      <c r="P13" s="92">
        <v>0</v>
      </c>
      <c r="Q13" s="50">
        <f>N13+O13-P13</f>
        <v>1767.7289990234376</v>
      </c>
      <c r="S13">
        <v>0</v>
      </c>
    </row>
    <row r="14" spans="1:21" x14ac:dyDescent="0.2">
      <c r="A14" s="1">
        <f>'Ex 1 HDD'!$A15</f>
        <v>42736</v>
      </c>
      <c r="B14" s="73">
        <f t="shared" si="0"/>
        <v>1789.4860000000001</v>
      </c>
      <c r="C14" s="3">
        <f t="shared" si="1"/>
        <v>1815.822726135254</v>
      </c>
      <c r="D14" s="73">
        <f t="shared" si="2"/>
        <v>-26.336726135253912</v>
      </c>
      <c r="E14" s="73">
        <f t="shared" si="3"/>
        <v>9497.18</v>
      </c>
      <c r="F14" s="73">
        <f t="shared" si="4"/>
        <v>9217.3307180786142</v>
      </c>
      <c r="G14" s="8"/>
      <c r="H14" s="74">
        <f t="shared" si="5"/>
        <v>1696195.2606635073</v>
      </c>
      <c r="I14" s="74">
        <v>1789486</v>
      </c>
      <c r="J14" s="82">
        <f t="shared" si="6"/>
        <v>1789.4860000000001</v>
      </c>
      <c r="M14" s="66">
        <f t="shared" si="7"/>
        <v>42736</v>
      </c>
      <c r="N14">
        <f t="shared" si="9"/>
        <v>1767.7289990234376</v>
      </c>
      <c r="O14" s="121">
        <v>99.308563232421875</v>
      </c>
      <c r="P14" s="92">
        <v>51.214836120605469</v>
      </c>
      <c r="Q14" s="50">
        <f t="shared" si="8"/>
        <v>1815.822726135254</v>
      </c>
      <c r="S14">
        <v>143.71</v>
      </c>
    </row>
    <row r="15" spans="1:21" x14ac:dyDescent="0.2">
      <c r="A15" s="1">
        <f>'Ex 1 HDD'!$A16</f>
        <v>42767</v>
      </c>
      <c r="B15" s="73">
        <f t="shared" si="0"/>
        <v>1726.674</v>
      </c>
      <c r="C15" s="3">
        <f t="shared" si="1"/>
        <v>1771.6565541076661</v>
      </c>
      <c r="D15" s="73">
        <f t="shared" si="2"/>
        <v>-44.982554107666147</v>
      </c>
      <c r="E15" s="73">
        <f t="shared" si="3"/>
        <v>11223.853999999999</v>
      </c>
      <c r="F15" s="73">
        <f t="shared" si="4"/>
        <v>10988.987272186281</v>
      </c>
      <c r="G15" s="8"/>
      <c r="H15" s="74">
        <f t="shared" si="5"/>
        <v>1636657.8199052133</v>
      </c>
      <c r="I15" s="81">
        <v>1726674</v>
      </c>
      <c r="J15" s="82">
        <f>I15/1000</f>
        <v>1726.674</v>
      </c>
      <c r="M15" s="66">
        <f t="shared" si="7"/>
        <v>42767</v>
      </c>
      <c r="N15">
        <f t="shared" si="9"/>
        <v>1815.822726135254</v>
      </c>
      <c r="O15" s="121">
        <v>0</v>
      </c>
      <c r="P15" s="92">
        <v>44.166172027587891</v>
      </c>
      <c r="Q15" s="50">
        <f t="shared" si="8"/>
        <v>1771.6565541076661</v>
      </c>
      <c r="S15">
        <v>0</v>
      </c>
    </row>
    <row r="16" spans="1:21" x14ac:dyDescent="0.2">
      <c r="A16" s="1">
        <f>'Ex 1 HDD'!$A17</f>
        <v>42795</v>
      </c>
      <c r="B16" s="73">
        <f t="shared" si="0"/>
        <v>1142.307</v>
      </c>
      <c r="C16" s="3">
        <f t="shared" si="1"/>
        <v>822.10961807250987</v>
      </c>
      <c r="D16" s="73">
        <f t="shared" si="2"/>
        <v>320.19738192749014</v>
      </c>
      <c r="E16" s="73">
        <f t="shared" si="3"/>
        <v>12366.161</v>
      </c>
      <c r="F16" s="73">
        <f t="shared" si="4"/>
        <v>11811.096890258792</v>
      </c>
      <c r="G16" s="8"/>
      <c r="H16" s="74">
        <f t="shared" si="5"/>
        <v>1082755.4502369668</v>
      </c>
      <c r="I16" s="81">
        <v>1142307</v>
      </c>
      <c r="J16" s="82">
        <f t="shared" ref="J16:J18" si="10">I16/1000</f>
        <v>1142.307</v>
      </c>
      <c r="M16" s="66">
        <f t="shared" si="7"/>
        <v>42795</v>
      </c>
      <c r="N16">
        <f t="shared" si="9"/>
        <v>1771.6565541076661</v>
      </c>
      <c r="O16" s="121">
        <v>0</v>
      </c>
      <c r="P16" s="92">
        <v>949.54693603515625</v>
      </c>
      <c r="Q16" s="50">
        <f t="shared" si="8"/>
        <v>822.10961807250987</v>
      </c>
      <c r="S16">
        <v>0</v>
      </c>
    </row>
    <row r="17" spans="1:19" x14ac:dyDescent="0.2">
      <c r="A17" s="1">
        <f>'Ex 1 HDD'!$A18</f>
        <v>42826</v>
      </c>
      <c r="B17" s="73"/>
      <c r="C17" s="3">
        <f t="shared" si="1"/>
        <v>822.10961807250987</v>
      </c>
      <c r="D17" s="73">
        <f t="shared" si="2"/>
        <v>-822.10961807250987</v>
      </c>
      <c r="E17" s="73">
        <f t="shared" si="3"/>
        <v>12366.161</v>
      </c>
      <c r="F17" s="73">
        <f t="shared" si="4"/>
        <v>12633.206508331303</v>
      </c>
      <c r="G17" s="8"/>
      <c r="H17" s="74">
        <f t="shared" si="5"/>
        <v>0</v>
      </c>
      <c r="I17" s="81">
        <v>0</v>
      </c>
      <c r="J17" s="82">
        <f t="shared" si="10"/>
        <v>0</v>
      </c>
      <c r="M17" s="66">
        <f t="shared" si="7"/>
        <v>42826</v>
      </c>
      <c r="N17">
        <f t="shared" si="9"/>
        <v>822.10961807250987</v>
      </c>
      <c r="O17" s="121">
        <v>0</v>
      </c>
      <c r="P17" s="92">
        <v>0</v>
      </c>
      <c r="Q17" s="50">
        <f t="shared" si="8"/>
        <v>822.10961807250987</v>
      </c>
      <c r="S17">
        <v>0</v>
      </c>
    </row>
    <row r="18" spans="1:19" x14ac:dyDescent="0.2">
      <c r="A18" s="1">
        <f>'Ex 1 HDD'!$A19</f>
        <v>42856</v>
      </c>
      <c r="B18" s="73"/>
      <c r="C18" s="3">
        <f t="shared" si="1"/>
        <v>822.10961807250987</v>
      </c>
      <c r="D18" s="73">
        <f t="shared" si="2"/>
        <v>-822.10961807250987</v>
      </c>
      <c r="E18" s="73">
        <f t="shared" si="3"/>
        <v>12366.161</v>
      </c>
      <c r="F18" s="73">
        <f t="shared" si="4"/>
        <v>13455.316126403814</v>
      </c>
      <c r="G18" s="8"/>
      <c r="H18" s="74">
        <f t="shared" si="5"/>
        <v>0</v>
      </c>
      <c r="I18" s="81">
        <v>0</v>
      </c>
      <c r="J18" s="82">
        <f t="shared" si="10"/>
        <v>0</v>
      </c>
      <c r="M18" s="66">
        <f t="shared" si="7"/>
        <v>42856</v>
      </c>
      <c r="N18">
        <f t="shared" si="9"/>
        <v>822.10961807250987</v>
      </c>
      <c r="O18" s="122">
        <v>0</v>
      </c>
      <c r="P18" s="123">
        <v>0</v>
      </c>
      <c r="Q18" s="50">
        <f t="shared" si="8"/>
        <v>822.10961807250987</v>
      </c>
      <c r="S18">
        <v>0</v>
      </c>
    </row>
    <row r="19" spans="1:19" x14ac:dyDescent="0.2">
      <c r="A19" s="1"/>
      <c r="B19" s="35"/>
      <c r="C19" s="51"/>
      <c r="D19" s="51"/>
      <c r="E19" s="51"/>
      <c r="F19" s="51"/>
      <c r="G19" s="51"/>
      <c r="H19" s="51"/>
      <c r="I19" s="8"/>
      <c r="J19" s="3"/>
      <c r="K19" s="3"/>
      <c r="L19" s="3"/>
      <c r="N19" s="1"/>
      <c r="O19" s="68">
        <f>SUM(O7:O18)</f>
        <v>1123.4075622558594</v>
      </c>
      <c r="P19" s="68">
        <f>SUM(P7:P18)</f>
        <v>1044.9279441833496</v>
      </c>
    </row>
    <row r="20" spans="1:19" x14ac:dyDescent="0.2">
      <c r="A20" s="1"/>
      <c r="B20" s="35"/>
      <c r="C20" s="51"/>
      <c r="D20" s="51"/>
      <c r="E20" s="51"/>
      <c r="F20" s="51"/>
      <c r="G20" s="51"/>
      <c r="H20" s="51"/>
      <c r="I20" s="8"/>
      <c r="J20" s="3"/>
      <c r="K20" s="3"/>
      <c r="L20" s="3"/>
      <c r="N20" s="1"/>
      <c r="O20" s="68"/>
      <c r="P20" s="68"/>
    </row>
    <row r="21" spans="1:19" x14ac:dyDescent="0.2">
      <c r="A21" s="1"/>
      <c r="B21" s="35">
        <f>SUM(B13:B15)</f>
        <v>5312.8490000000002</v>
      </c>
      <c r="C21" s="35">
        <f>SUM(C13:C15)</f>
        <v>5355.2082792663577</v>
      </c>
      <c r="D21" s="51"/>
      <c r="E21" s="51"/>
      <c r="H21">
        <v>5</v>
      </c>
      <c r="I21" s="54">
        <f>H21*$H$5</f>
        <v>5.2749999999999995</v>
      </c>
      <c r="K21" s="3"/>
      <c r="L21" s="3"/>
      <c r="N21" s="1"/>
      <c r="O21" s="94" t="s">
        <v>54</v>
      </c>
      <c r="P21" s="94" t="s">
        <v>55</v>
      </c>
    </row>
    <row r="22" spans="1:19" ht="15" x14ac:dyDescent="0.25">
      <c r="A22" s="1"/>
      <c r="B22" s="35"/>
      <c r="C22" s="51"/>
      <c r="D22" s="51"/>
      <c r="E22" s="51"/>
      <c r="H22">
        <v>6</v>
      </c>
      <c r="I22" s="54">
        <f t="shared" ref="I22:I24" si="11">H22*$H$5</f>
        <v>6.33</v>
      </c>
      <c r="K22" s="3"/>
      <c r="L22" s="3"/>
      <c r="N22" s="1"/>
      <c r="O22" s="136">
        <v>0</v>
      </c>
      <c r="P22" s="136">
        <v>0</v>
      </c>
      <c r="S22" s="136"/>
    </row>
    <row r="23" spans="1:19" x14ac:dyDescent="0.2">
      <c r="A23" s="1"/>
      <c r="B23" s="35"/>
      <c r="C23" s="51"/>
      <c r="D23" s="51"/>
      <c r="E23" s="51"/>
      <c r="H23">
        <v>7</v>
      </c>
      <c r="I23" s="54">
        <f t="shared" si="11"/>
        <v>7.3849999999999998</v>
      </c>
      <c r="K23" s="3"/>
      <c r="L23" s="3"/>
      <c r="N23" s="1"/>
      <c r="O23" s="68">
        <v>0</v>
      </c>
      <c r="P23" s="68">
        <v>0</v>
      </c>
    </row>
    <row r="24" spans="1:19" x14ac:dyDescent="0.2">
      <c r="A24" s="1"/>
      <c r="B24" s="35"/>
      <c r="C24" s="51"/>
      <c r="D24" s="51"/>
      <c r="E24" s="51"/>
      <c r="H24">
        <v>8</v>
      </c>
      <c r="I24" s="54">
        <f t="shared" si="11"/>
        <v>8.44</v>
      </c>
      <c r="J24" s="3"/>
      <c r="K24" s="3"/>
      <c r="L24" s="3"/>
      <c r="N24" s="1"/>
      <c r="O24" s="68">
        <v>0</v>
      </c>
      <c r="P24" s="68">
        <v>0</v>
      </c>
    </row>
    <row r="25" spans="1:19" x14ac:dyDescent="0.2">
      <c r="A25" s="1"/>
      <c r="B25" s="35"/>
      <c r="C25" s="51"/>
      <c r="D25" s="51"/>
      <c r="E25" s="51"/>
      <c r="F25" s="51"/>
      <c r="G25" s="51"/>
      <c r="H25" s="51"/>
      <c r="I25" s="1"/>
      <c r="J25" s="3"/>
      <c r="K25" s="3"/>
      <c r="L25" s="3"/>
      <c r="N25" s="1"/>
      <c r="O25" s="68">
        <v>0</v>
      </c>
      <c r="P25" s="68">
        <v>0</v>
      </c>
    </row>
    <row r="26" spans="1:19" x14ac:dyDescent="0.2">
      <c r="A26" s="1"/>
      <c r="B26" s="35"/>
      <c r="C26" s="51"/>
      <c r="D26" s="51"/>
      <c r="E26" s="51"/>
      <c r="F26" s="51"/>
      <c r="G26" s="51"/>
      <c r="H26" s="51"/>
      <c r="I26" s="1"/>
      <c r="J26" s="3"/>
      <c r="K26" s="3"/>
      <c r="L26" s="3"/>
      <c r="N26" s="1"/>
      <c r="O26" s="68">
        <v>154.24600000000001</v>
      </c>
      <c r="P26" s="68">
        <v>0</v>
      </c>
    </row>
    <row r="27" spans="1:19" x14ac:dyDescent="0.2">
      <c r="A27" s="1"/>
      <c r="B27" s="35"/>
      <c r="C27" s="51"/>
      <c r="D27" s="51"/>
      <c r="E27" s="51"/>
      <c r="F27" s="51"/>
      <c r="G27" s="51"/>
      <c r="H27" s="51"/>
      <c r="I27" s="1"/>
      <c r="J27" s="3"/>
      <c r="K27" s="3"/>
      <c r="L27" s="3"/>
      <c r="N27" s="1"/>
      <c r="O27" s="68">
        <v>0</v>
      </c>
      <c r="P27" s="68">
        <v>0</v>
      </c>
    </row>
    <row r="28" spans="1:19" x14ac:dyDescent="0.2">
      <c r="B28" s="8"/>
      <c r="C28" s="8"/>
      <c r="D28" s="8"/>
      <c r="E28" s="8"/>
      <c r="F28" s="8"/>
      <c r="G28" s="8"/>
      <c r="H28" s="8"/>
      <c r="I28" s="8"/>
      <c r="O28" s="68">
        <v>0</v>
      </c>
      <c r="P28" s="68">
        <v>331.74400000000003</v>
      </c>
    </row>
    <row r="29" spans="1:19" x14ac:dyDescent="0.2">
      <c r="O29" s="68">
        <v>0</v>
      </c>
      <c r="P29" s="68">
        <v>238.15100000000001</v>
      </c>
    </row>
    <row r="30" spans="1:19" x14ac:dyDescent="0.2">
      <c r="O30" s="68">
        <v>0</v>
      </c>
      <c r="P30" s="68">
        <v>0</v>
      </c>
    </row>
    <row r="31" spans="1:19" ht="12.75" customHeight="1" x14ac:dyDescent="0.2">
      <c r="A31" s="436"/>
      <c r="B31" s="436"/>
      <c r="C31" s="436"/>
      <c r="D31" s="436"/>
      <c r="E31" s="436"/>
      <c r="F31" s="436"/>
      <c r="G31" s="436"/>
      <c r="H31" s="436"/>
      <c r="I31" s="436"/>
      <c r="J31" s="436"/>
      <c r="K31" s="436"/>
      <c r="L31" s="436"/>
      <c r="M31" s="18"/>
      <c r="N31" s="18"/>
      <c r="O31" s="68">
        <v>0</v>
      </c>
      <c r="P31" s="68">
        <v>0</v>
      </c>
    </row>
    <row r="32" spans="1:19" x14ac:dyDescent="0.2">
      <c r="A32" s="18"/>
      <c r="B32" s="18"/>
      <c r="C32" s="18"/>
      <c r="D32" s="18"/>
      <c r="E32" s="18"/>
      <c r="F32" s="18"/>
      <c r="G32" s="18"/>
      <c r="H32" s="18"/>
      <c r="I32" s="18"/>
      <c r="J32" s="18"/>
      <c r="K32" s="18"/>
      <c r="L32" s="18"/>
      <c r="M32" s="18"/>
      <c r="N32" s="18"/>
      <c r="O32" s="68">
        <v>0</v>
      </c>
      <c r="P32" s="68">
        <v>0</v>
      </c>
    </row>
    <row r="33" spans="1:16" x14ac:dyDescent="0.2">
      <c r="O33" s="68">
        <v>0</v>
      </c>
      <c r="P33" s="68">
        <v>0</v>
      </c>
    </row>
    <row r="34" spans="1:16" x14ac:dyDescent="0.2">
      <c r="O34" s="68">
        <v>154.24600000000001</v>
      </c>
      <c r="P34" s="68">
        <v>569.89499999999998</v>
      </c>
    </row>
    <row r="35" spans="1:16" x14ac:dyDescent="0.2">
      <c r="A35" s="149" t="s">
        <v>78</v>
      </c>
      <c r="B35" s="51">
        <v>252153</v>
      </c>
      <c r="C35" s="150">
        <v>252153</v>
      </c>
      <c r="D35" s="150"/>
      <c r="E35" s="8"/>
      <c r="F35" s="8"/>
      <c r="G35" s="8"/>
      <c r="H35" s="79" t="s">
        <v>179</v>
      </c>
      <c r="I35" s="8"/>
      <c r="J35" s="79" t="s">
        <v>180</v>
      </c>
      <c r="K35" s="8"/>
      <c r="L35" s="8"/>
    </row>
    <row r="36" spans="1:16" x14ac:dyDescent="0.2">
      <c r="A36" s="149" t="s">
        <v>79</v>
      </c>
      <c r="B36" s="51">
        <v>648967</v>
      </c>
      <c r="C36" s="47">
        <v>648967</v>
      </c>
      <c r="D36" s="47"/>
      <c r="E36" s="8"/>
      <c r="F36" s="8"/>
      <c r="G36" s="8"/>
      <c r="H36" s="8">
        <v>1761005.0485872477</v>
      </c>
      <c r="I36" s="8"/>
      <c r="J36" s="8">
        <v>1761005.0485872477</v>
      </c>
      <c r="K36" s="8"/>
      <c r="L36" s="8"/>
    </row>
    <row r="37" spans="1:16" x14ac:dyDescent="0.2">
      <c r="A37" s="149" t="s">
        <v>80</v>
      </c>
      <c r="B37">
        <v>774377</v>
      </c>
      <c r="C37" s="47">
        <v>774377</v>
      </c>
      <c r="D37" s="47"/>
      <c r="E37" s="8"/>
      <c r="F37" s="8"/>
      <c r="G37" s="8"/>
      <c r="H37" s="8">
        <v>1423780.0485872515</v>
      </c>
      <c r="I37" s="8"/>
      <c r="J37" s="8">
        <v>1423780.0485872515</v>
      </c>
      <c r="K37" s="8"/>
      <c r="L37" s="8"/>
    </row>
    <row r="38" spans="1:16" x14ac:dyDescent="0.2">
      <c r="A38" s="51"/>
      <c r="B38" s="51">
        <f>SUM(B35:B37)</f>
        <v>1675497</v>
      </c>
      <c r="C38" s="51">
        <f>SUM(C35:C37)</f>
        <v>1675497</v>
      </c>
      <c r="D38" s="51"/>
      <c r="E38" s="55"/>
      <c r="F38" s="55"/>
      <c r="G38" s="55"/>
      <c r="H38" s="55">
        <v>851240.04858725052</v>
      </c>
      <c r="I38" s="8"/>
      <c r="J38" s="4">
        <v>851240.04858725052</v>
      </c>
      <c r="K38" s="4"/>
      <c r="L38" s="4"/>
    </row>
    <row r="39" spans="1:16" x14ac:dyDescent="0.2">
      <c r="A39" s="63"/>
      <c r="B39" s="35"/>
      <c r="C39" s="35"/>
      <c r="D39" s="35"/>
      <c r="E39" s="35"/>
      <c r="F39" s="35"/>
      <c r="G39" s="35"/>
      <c r="H39" s="35">
        <v>1009513.0485872505</v>
      </c>
      <c r="I39" s="8"/>
      <c r="J39" s="35">
        <v>1009513.0485872505</v>
      </c>
      <c r="K39" s="35"/>
      <c r="L39" s="35"/>
    </row>
    <row r="40" spans="1:16" x14ac:dyDescent="0.2">
      <c r="A40" s="63"/>
      <c r="B40" s="35"/>
      <c r="C40" s="35"/>
      <c r="D40" s="35"/>
      <c r="E40" s="35"/>
      <c r="F40" s="35"/>
      <c r="G40" s="35"/>
      <c r="H40" s="35">
        <v>750042.04858725145</v>
      </c>
      <c r="I40" s="8"/>
      <c r="J40" s="35">
        <v>750042.04858725145</v>
      </c>
      <c r="K40" s="35"/>
      <c r="L40" s="35"/>
    </row>
    <row r="41" spans="1:16" x14ac:dyDescent="0.2">
      <c r="A41" s="63"/>
      <c r="B41" s="35"/>
      <c r="C41" s="35"/>
      <c r="D41" s="35"/>
      <c r="E41" s="35"/>
      <c r="F41" s="78" t="s">
        <v>171</v>
      </c>
      <c r="G41" s="35"/>
      <c r="H41" s="75">
        <v>741193.04858725145</v>
      </c>
      <c r="I41" s="206"/>
      <c r="J41" s="190">
        <v>741193.04858725145</v>
      </c>
      <c r="K41" s="35"/>
      <c r="L41" s="35"/>
    </row>
    <row r="42" spans="1:16" x14ac:dyDescent="0.2">
      <c r="A42" s="63"/>
      <c r="B42" s="35"/>
      <c r="C42" s="35"/>
      <c r="D42" s="35"/>
      <c r="E42" s="35"/>
      <c r="F42" s="78" t="s">
        <v>172</v>
      </c>
      <c r="G42" s="35"/>
      <c r="H42" s="16">
        <v>742210.04858725145</v>
      </c>
      <c r="I42" s="8"/>
      <c r="J42" s="14">
        <v>742210.04858725145</v>
      </c>
      <c r="K42" s="35"/>
      <c r="L42" s="35"/>
    </row>
    <row r="43" spans="1:16" x14ac:dyDescent="0.2">
      <c r="A43" s="63"/>
      <c r="B43" s="35"/>
      <c r="C43" s="35"/>
      <c r="D43" s="35"/>
      <c r="E43" s="35"/>
      <c r="F43" s="78" t="s">
        <v>173</v>
      </c>
      <c r="G43" s="35"/>
      <c r="H43" s="182">
        <v>733274.04858724773</v>
      </c>
      <c r="I43" s="169"/>
      <c r="J43" s="184">
        <v>733274.04858724773</v>
      </c>
      <c r="K43" s="35"/>
      <c r="L43" s="35"/>
    </row>
    <row r="44" spans="1:16" x14ac:dyDescent="0.2">
      <c r="A44" s="63"/>
      <c r="B44" s="35"/>
      <c r="C44" s="35"/>
      <c r="D44" s="35"/>
      <c r="E44" s="35"/>
      <c r="F44" s="78" t="s">
        <v>175</v>
      </c>
      <c r="G44" s="35"/>
      <c r="H44" s="35">
        <v>779680.04858724773</v>
      </c>
      <c r="I44" s="8"/>
      <c r="J44" s="35">
        <v>824078.04858724773</v>
      </c>
      <c r="K44" s="35"/>
      <c r="L44" s="35">
        <f>J44-H44</f>
        <v>44398</v>
      </c>
    </row>
    <row r="45" spans="1:16" x14ac:dyDescent="0.2">
      <c r="A45" s="63"/>
      <c r="B45" s="35"/>
      <c r="C45" s="35"/>
      <c r="D45" s="35"/>
      <c r="E45" s="35"/>
      <c r="F45" s="78" t="s">
        <v>176</v>
      </c>
      <c r="G45" s="35"/>
      <c r="H45" s="35">
        <v>1488952.0485872477</v>
      </c>
      <c r="I45" s="8"/>
      <c r="J45" s="35">
        <v>1533352.0485872477</v>
      </c>
      <c r="K45" s="35"/>
      <c r="L45" s="35">
        <f t="shared" ref="L45:L46" si="12">J45-H45</f>
        <v>44400</v>
      </c>
    </row>
    <row r="46" spans="1:16" x14ac:dyDescent="0.2">
      <c r="A46" s="63"/>
      <c r="B46" s="35"/>
      <c r="C46" s="35"/>
      <c r="D46" s="35"/>
      <c r="E46" s="35"/>
      <c r="F46" s="78" t="s">
        <v>177</v>
      </c>
      <c r="G46" s="35"/>
      <c r="H46" s="35">
        <v>1625943.0485872477</v>
      </c>
      <c r="I46" s="8"/>
      <c r="J46" s="35">
        <v>1681681.0485872477</v>
      </c>
      <c r="K46" s="35"/>
      <c r="L46" s="35">
        <f t="shared" si="12"/>
        <v>55738</v>
      </c>
    </row>
    <row r="47" spans="1:16" x14ac:dyDescent="0.2">
      <c r="A47" s="63"/>
      <c r="B47" s="35"/>
      <c r="C47" s="35"/>
      <c r="D47" s="35"/>
      <c r="E47" s="35"/>
      <c r="F47" s="78" t="s">
        <v>178</v>
      </c>
      <c r="G47" s="35"/>
      <c r="H47" s="35">
        <v>1627170.0485872477</v>
      </c>
      <c r="I47" s="8"/>
      <c r="J47" s="35"/>
      <c r="K47" s="35"/>
      <c r="L47" s="35"/>
    </row>
    <row r="48" spans="1:16" x14ac:dyDescent="0.2">
      <c r="A48" s="63"/>
      <c r="B48" s="35"/>
      <c r="C48" s="35"/>
      <c r="D48" s="35"/>
      <c r="E48" s="35"/>
      <c r="F48" s="35"/>
      <c r="G48" s="35"/>
      <c r="H48" s="35"/>
      <c r="I48" s="8"/>
      <c r="J48" s="35"/>
      <c r="K48" s="35"/>
      <c r="L48" s="35"/>
    </row>
    <row r="49" spans="1:12" x14ac:dyDescent="0.2">
      <c r="A49" s="63"/>
      <c r="B49" s="35"/>
      <c r="C49" s="35"/>
      <c r="D49" s="35"/>
      <c r="E49" s="35"/>
      <c r="F49" s="35"/>
      <c r="G49" s="35"/>
      <c r="H49" s="35"/>
      <c r="I49" s="8"/>
      <c r="J49" s="35"/>
      <c r="K49" s="35"/>
      <c r="L49" s="35"/>
    </row>
    <row r="50" spans="1:12" x14ac:dyDescent="0.2">
      <c r="A50" s="63"/>
      <c r="B50" s="35"/>
      <c r="C50" s="35"/>
      <c r="D50" s="35"/>
      <c r="E50" s="35"/>
      <c r="F50" s="35"/>
      <c r="G50" s="35"/>
      <c r="H50" s="35"/>
      <c r="I50" s="8"/>
      <c r="J50" s="35"/>
      <c r="K50" s="35"/>
      <c r="L50" s="35"/>
    </row>
    <row r="51" spans="1:12" x14ac:dyDescent="0.2">
      <c r="A51" s="8"/>
      <c r="B51" s="8"/>
      <c r="C51" s="8"/>
      <c r="D51" s="8"/>
      <c r="E51" s="8"/>
      <c r="F51" s="8"/>
      <c r="G51" s="8"/>
      <c r="H51" s="8"/>
      <c r="I51" s="8"/>
      <c r="J51" s="8"/>
      <c r="K51" s="8"/>
      <c r="L51" s="8"/>
    </row>
    <row r="52" spans="1:12" x14ac:dyDescent="0.2">
      <c r="A52" s="8"/>
      <c r="B52" s="8"/>
      <c r="C52" s="8"/>
      <c r="D52" s="8"/>
      <c r="E52" s="8"/>
      <c r="F52" s="8"/>
      <c r="G52" s="8"/>
      <c r="H52" s="8"/>
      <c r="I52" s="8"/>
      <c r="J52" s="8"/>
      <c r="K52" s="8"/>
      <c r="L52" s="8"/>
    </row>
    <row r="53" spans="1:12" x14ac:dyDescent="0.2">
      <c r="A53" s="8"/>
      <c r="B53" s="8"/>
      <c r="C53" s="8"/>
      <c r="D53" s="8"/>
      <c r="E53" s="8"/>
      <c r="F53" s="8"/>
      <c r="G53" s="8"/>
      <c r="H53" s="8"/>
      <c r="I53" s="8"/>
      <c r="J53" s="8"/>
      <c r="K53" s="8"/>
      <c r="L53" s="8"/>
    </row>
  </sheetData>
  <mergeCells count="4">
    <mergeCell ref="A31:L31"/>
    <mergeCell ref="A3:O3"/>
    <mergeCell ref="A2:O2"/>
    <mergeCell ref="A4:J4"/>
  </mergeCells>
  <phoneticPr fontId="23" type="noConversion"/>
  <pageMargins left="0.75" right="0.75" top="1" bottom="1" header="0.5" footer="0.5"/>
  <pageSetup orientation="portrait" horizontalDpi="1200" verticalDpi="1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O26:W32"/>
  <sheetViews>
    <sheetView topLeftCell="A13" workbookViewId="0">
      <selection activeCell="O31" sqref="O31"/>
    </sheetView>
  </sheetViews>
  <sheetFormatPr defaultRowHeight="12.75" x14ac:dyDescent="0.2"/>
  <cols>
    <col min="1" max="14" width="8.28515625" customWidth="1"/>
    <col min="15" max="17" width="2.5703125" customWidth="1"/>
    <col min="19" max="19" width="9.140625" customWidth="1"/>
  </cols>
  <sheetData>
    <row r="26" spans="15:23" ht="3.75" customHeight="1" x14ac:dyDescent="0.2"/>
    <row r="29" spans="15:23" x14ac:dyDescent="0.2">
      <c r="U29">
        <v>6580</v>
      </c>
      <c r="V29">
        <v>8750</v>
      </c>
      <c r="W29">
        <v>10765</v>
      </c>
    </row>
    <row r="30" spans="15:23" x14ac:dyDescent="0.2">
      <c r="U30">
        <v>4140</v>
      </c>
      <c r="V30">
        <v>6429</v>
      </c>
      <c r="W30">
        <v>8565</v>
      </c>
    </row>
    <row r="31" spans="15:23" ht="111.75" customHeight="1" x14ac:dyDescent="0.2">
      <c r="O31" s="137" t="str">
        <f>'Exhibit 1.1'!O31</f>
        <v>DEU Variance Exhibit</v>
      </c>
      <c r="P31" s="137" t="str">
        <f>'Exhibit 1.1'!P31</f>
        <v>Docket No. 16-057-08</v>
      </c>
      <c r="Q31" s="137" t="s">
        <v>296</v>
      </c>
      <c r="U31">
        <f>U29-U30</f>
        <v>2440</v>
      </c>
      <c r="V31">
        <f>V29-V30</f>
        <v>2321</v>
      </c>
      <c r="W31">
        <f>W29-W30</f>
        <v>2200</v>
      </c>
    </row>
    <row r="32" spans="15:23" ht="26.25" customHeight="1" x14ac:dyDescent="0.2">
      <c r="O32" s="112">
        <v>2.1</v>
      </c>
    </row>
  </sheetData>
  <printOptions horizontalCentered="1" verticalCentered="1"/>
  <pageMargins left="0.7" right="0.7" top="0.75" bottom="0.75" header="0.3" footer="0.3"/>
  <pageSetup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O31:Q32"/>
  <sheetViews>
    <sheetView topLeftCell="A10" workbookViewId="0">
      <selection activeCell="O31" sqref="O31"/>
    </sheetView>
  </sheetViews>
  <sheetFormatPr defaultRowHeight="12.75" x14ac:dyDescent="0.2"/>
  <cols>
    <col min="1" max="14" width="8.28515625" customWidth="1"/>
    <col min="15" max="17" width="2.5703125" customWidth="1"/>
  </cols>
  <sheetData>
    <row r="31" spans="15:17" ht="104.25" x14ac:dyDescent="0.2">
      <c r="O31" s="126" t="str">
        <f>'Exhibit 1.1'!O31</f>
        <v>DEU Variance Exhibit</v>
      </c>
      <c r="P31" s="126" t="str">
        <f>'Exhibit 1.1'!P31</f>
        <v>Docket No. 16-057-08</v>
      </c>
      <c r="Q31" s="126" t="str">
        <f>'Exhibit 1.1'!Q31</f>
        <v>Dominion Energy Utah</v>
      </c>
    </row>
    <row r="32" spans="15:17" ht="26.25" customHeight="1" x14ac:dyDescent="0.2">
      <c r="O32" s="112">
        <v>2.2000000000000002</v>
      </c>
      <c r="P32" s="109"/>
      <c r="Q32" s="109"/>
    </row>
  </sheetData>
  <printOptions horizontalCentered="1" verticalCentered="1"/>
  <pageMargins left="0.7" right="0.7" top="0.75" bottom="0.75" header="0.3" footer="0.3"/>
  <pageSetup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O26:Q32"/>
  <sheetViews>
    <sheetView topLeftCell="A10" workbookViewId="0">
      <selection activeCell="O31" sqref="O31"/>
    </sheetView>
  </sheetViews>
  <sheetFormatPr defaultRowHeight="12.75" x14ac:dyDescent="0.2"/>
  <cols>
    <col min="1" max="14" width="8.28515625" customWidth="1"/>
    <col min="15" max="17" width="2.28515625" style="114" customWidth="1"/>
  </cols>
  <sheetData>
    <row r="26" spans="15:17" ht="5.25" customHeight="1" x14ac:dyDescent="0.2"/>
    <row r="30" spans="15:17" ht="6.75" customHeight="1" x14ac:dyDescent="0.2"/>
    <row r="31" spans="15:17" ht="107.25" customHeight="1" x14ac:dyDescent="0.2">
      <c r="O31" s="126" t="str">
        <f>'Exhibit 1.1'!O31</f>
        <v>DEU Variance Exhibit</v>
      </c>
      <c r="P31" s="126" t="str">
        <f>'Exhibit 1.1'!P31</f>
        <v>Docket No. 16-057-08</v>
      </c>
      <c r="Q31" s="126" t="str">
        <f>'Exhibit 1.1'!Q31</f>
        <v>Dominion Energy Utah</v>
      </c>
    </row>
    <row r="32" spans="15:17" ht="26.25" customHeight="1" x14ac:dyDescent="0.2">
      <c r="O32" s="112">
        <v>2.2999999999999998</v>
      </c>
      <c r="P32" s="110"/>
      <c r="Q32" s="110"/>
    </row>
  </sheetData>
  <printOptions horizontalCentered="1" verticalCentered="1"/>
  <pageMargins left="0.7" right="0.7" top="0.75" bottom="0.7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41</vt:i4>
      </vt:variant>
      <vt:variant>
        <vt:lpstr>Named Ranges</vt:lpstr>
      </vt:variant>
      <vt:variant>
        <vt:i4>24</vt:i4>
      </vt:variant>
    </vt:vector>
  </HeadingPairs>
  <TitlesOfParts>
    <vt:vector size="65" baseType="lpstr">
      <vt:lpstr>Ex 1 HDD</vt:lpstr>
      <vt:lpstr>Exhibit 1.1</vt:lpstr>
      <vt:lpstr>Exhibit 1.2</vt:lpstr>
      <vt:lpstr>Exhibit 1.3</vt:lpstr>
      <vt:lpstr>Ex 2 Clay Basin</vt:lpstr>
      <vt:lpstr>Ex 2 Aquifers</vt:lpstr>
      <vt:lpstr>Exhibit 2.1</vt:lpstr>
      <vt:lpstr>Exhibit 2.2</vt:lpstr>
      <vt:lpstr>Exhibit 2.3</vt:lpstr>
      <vt:lpstr>Exhibit 2.4</vt:lpstr>
      <vt:lpstr>Exhibit Firm Sales Volume</vt:lpstr>
      <vt:lpstr>Exhibit 3.1</vt:lpstr>
      <vt:lpstr>Exhibit 3.2</vt:lpstr>
      <vt:lpstr>Exhibit 3.3</vt:lpstr>
      <vt:lpstr>Exhibit 3.4</vt:lpstr>
      <vt:lpstr>Ex 4 Purchase Gas</vt:lpstr>
      <vt:lpstr>Exhibit 4.1</vt:lpstr>
      <vt:lpstr>Exhibit 4.2</vt:lpstr>
      <vt:lpstr>Exhibit 4.3</vt:lpstr>
      <vt:lpstr>Ex 5 Purchase Gas Cost</vt:lpstr>
      <vt:lpstr>Exhibit 5.1</vt:lpstr>
      <vt:lpstr>Exhibit 5.2</vt:lpstr>
      <vt:lpstr>Exhibit 5.3</vt:lpstr>
      <vt:lpstr>Ex 6 Purch Gas Unit Cost</vt:lpstr>
      <vt:lpstr>Exhibit 6.1</vt:lpstr>
      <vt:lpstr>Exhibit 6.2</vt:lpstr>
      <vt:lpstr>Ex 7 Co. Owned Gas</vt:lpstr>
      <vt:lpstr>Exhibit 7.1</vt:lpstr>
      <vt:lpstr>Exhibit 7.2</vt:lpstr>
      <vt:lpstr>Exhibit 7.3</vt:lpstr>
      <vt:lpstr>Ex 8 New Drill</vt:lpstr>
      <vt:lpstr>Exhibit 8.1</vt:lpstr>
      <vt:lpstr>Exhibit 8.2</vt:lpstr>
      <vt:lpstr>Exhibit 8.3</vt:lpstr>
      <vt:lpstr>Company Nom Groups</vt:lpstr>
      <vt:lpstr>Normal Purchase %</vt:lpstr>
      <vt:lpstr>IRP Pruch Cover Sheet</vt:lpstr>
      <vt:lpstr>Shut-In</vt:lpstr>
      <vt:lpstr>Deleted Exhibit 2.5</vt:lpstr>
      <vt:lpstr>Deleted Exhibit 2.6</vt:lpstr>
      <vt:lpstr>Ex 2 Ryckman</vt:lpstr>
      <vt:lpstr>'Company Nom Groups'!Print_Area</vt:lpstr>
      <vt:lpstr>'Deleted Exhibit 2.5'!Print_Area</vt:lpstr>
      <vt:lpstr>'Deleted Exhibit 2.6'!Print_Area</vt:lpstr>
      <vt:lpstr>'Exhibit 1.1'!Print_Area</vt:lpstr>
      <vt:lpstr>'Exhibit 1.2'!Print_Area</vt:lpstr>
      <vt:lpstr>'Exhibit 1.3'!Print_Area</vt:lpstr>
      <vt:lpstr>'Exhibit 2.1'!Print_Area</vt:lpstr>
      <vt:lpstr>'Exhibit 2.2'!Print_Area</vt:lpstr>
      <vt:lpstr>'Exhibit 2.3'!Print_Area</vt:lpstr>
      <vt:lpstr>'Exhibit 2.4'!Print_Area</vt:lpstr>
      <vt:lpstr>'Exhibit 3.3'!Print_Area</vt:lpstr>
      <vt:lpstr>'Exhibit 4.1'!Print_Area</vt:lpstr>
      <vt:lpstr>'Exhibit 4.2'!Print_Area</vt:lpstr>
      <vt:lpstr>'Exhibit 4.3'!Print_Area</vt:lpstr>
      <vt:lpstr>'Exhibit 5.1'!Print_Area</vt:lpstr>
      <vt:lpstr>'Exhibit 5.2'!Print_Area</vt:lpstr>
      <vt:lpstr>'Exhibit 5.3'!Print_Area</vt:lpstr>
      <vt:lpstr>'Exhibit 6.1'!Print_Area</vt:lpstr>
      <vt:lpstr>'Exhibit 6.2'!Print_Area</vt:lpstr>
      <vt:lpstr>'Exhibit 7.1'!Print_Area</vt:lpstr>
      <vt:lpstr>'Exhibit 8.1'!Print_Area</vt:lpstr>
      <vt:lpstr>'Exhibit 8.2'!Print_Area</vt:lpstr>
      <vt:lpstr>'Exhibit 8.3'!Print_Area</vt:lpstr>
      <vt:lpstr>'Company Nom Groups'!Print_Titles</vt:lpstr>
    </vt:vector>
  </TitlesOfParts>
  <Company>QUESTAR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Millington</dc:creator>
  <cp:lastModifiedBy>laurieharris</cp:lastModifiedBy>
  <cp:lastPrinted>2017-05-31T17:04:17Z</cp:lastPrinted>
  <dcterms:created xsi:type="dcterms:W3CDTF">2007-04-04T16:10:38Z</dcterms:created>
  <dcterms:modified xsi:type="dcterms:W3CDTF">2017-06-02T19:13:41Z</dcterms:modified>
</cp:coreProperties>
</file>